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9"/>
  <workbookPr/>
  <mc:AlternateContent xmlns:mc="http://schemas.openxmlformats.org/markup-compatibility/2006">
    <mc:Choice Requires="x15">
      <x15ac:absPath xmlns:x15ac="http://schemas.microsoft.com/office/spreadsheetml/2010/11/ac" url="https://nwmissouri-my.sharepoint.com/personal/s536304_nwmissouri_edu/Documents/Cost Accounting/Budget Project/"/>
    </mc:Choice>
  </mc:AlternateContent>
  <xr:revisionPtr revIDLastSave="476" documentId="14_{38B397A9-309C-4C79-A8D5-A8BF72C5EFE3}" xr6:coauthVersionLast="47" xr6:coauthVersionMax="47" xr10:uidLastSave="{3B7035F2-7770-4558-8CB9-727C07738B3C}"/>
  <bookViews>
    <workbookView xWindow="-98" yWindow="-98" windowWidth="19396" windowHeight="10395" firstSheet="10" activeTab="14" xr2:uid="{00000000-000D-0000-FFFF-FFFF00000000}"/>
  </bookViews>
  <sheets>
    <sheet name="Assumptions" sheetId="1" r:id="rId1"/>
    <sheet name="AnnualRevenue" sheetId="2" r:id="rId2"/>
    <sheet name="MonthlyRevenue" sheetId="3" r:id="rId3"/>
    <sheet name="FootballRevChart" sheetId="23" r:id="rId4"/>
    <sheet name="BasketballRevChart" sheetId="24" r:id="rId5"/>
    <sheet name="AnnualProduction" sheetId="4" r:id="rId6"/>
    <sheet name="MonthlyProduction" sheetId="5" r:id="rId7"/>
    <sheet name="FootballProdChart" sheetId="25" r:id="rId8"/>
    <sheet name="BasketballProdChart" sheetId="26" r:id="rId9"/>
    <sheet name="AnnualDMUsage" sheetId="6" r:id="rId10"/>
    <sheet name="MonthlyDMUsage" sheetId="7" r:id="rId11"/>
    <sheet name="FootballMonthlyDMUsageChart" sheetId="28" r:id="rId12"/>
    <sheet name="BasketballMonthlyDMUsageChart" sheetId="30" r:id="rId13"/>
    <sheet name="Annual Purchases" sheetId="8" r:id="rId14"/>
    <sheet name="Monthly Purchases" sheetId="9" r:id="rId15"/>
    <sheet name="FootballMonthlyDMPurchaseChart" sheetId="31" r:id="rId16"/>
    <sheet name="BasketballMonthlyDMPurchaseChar" sheetId="32" r:id="rId17"/>
    <sheet name="AnnualDMLusage" sheetId="10" r:id="rId18"/>
    <sheet name="Monthly Labor" sheetId="11" r:id="rId19"/>
    <sheet name="MonthlyLabor$Chart" sheetId="34" r:id="rId20"/>
    <sheet name="MonthlyLaborHoursChart" sheetId="35" r:id="rId21"/>
    <sheet name="AnnualMOH" sheetId="13" r:id="rId22"/>
    <sheet name="MonthlyMOH" sheetId="14" r:id="rId23"/>
    <sheet name="NonMFG" sheetId="15" r:id="rId24"/>
    <sheet name="Unit Cost" sheetId="12" r:id="rId25"/>
    <sheet name="AnnualEndInv" sheetId="16" r:id="rId26"/>
    <sheet name="Monthly Inventory" sheetId="17" r:id="rId27"/>
    <sheet name="AnnualCOGS" sheetId="18" r:id="rId28"/>
    <sheet name="MonthlyCOGS" sheetId="19" r:id="rId29"/>
    <sheet name="MonthlyFootballCOGSChart" sheetId="38" r:id="rId30"/>
    <sheet name="MonthlyBasketballCOGSChart" sheetId="39" r:id="rId31"/>
    <sheet name="Income" sheetId="20" r:id="rId32"/>
    <sheet name="IncomeMonthly" sheetId="21" r:id="rId33"/>
    <sheet name="IncomeMonthlyChart" sheetId="40" r:id="rId3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9" l="1"/>
  <c r="C15" i="7"/>
  <c r="B15" i="7"/>
  <c r="N8" i="5"/>
  <c r="N11" i="5"/>
  <c r="N13" i="5"/>
  <c r="N6" i="5"/>
  <c r="N5" i="7"/>
  <c r="N7" i="7"/>
  <c r="N8" i="7"/>
  <c r="N9" i="7"/>
  <c r="N12" i="7"/>
  <c r="N14" i="7"/>
  <c r="N15" i="7"/>
  <c r="N16" i="7"/>
  <c r="D9" i="2"/>
  <c r="Z6" i="21" l="1"/>
  <c r="C6" i="19"/>
  <c r="C11" i="16"/>
  <c r="C10" i="16"/>
  <c r="M10" i="15"/>
  <c r="M13" i="21" s="1"/>
  <c r="L10" i="15"/>
  <c r="L13" i="21" s="1"/>
  <c r="K10" i="15"/>
  <c r="K13" i="21" s="1"/>
  <c r="J10" i="15"/>
  <c r="J13" i="21" s="1"/>
  <c r="I10" i="15"/>
  <c r="I13" i="21" s="1"/>
  <c r="H10" i="15"/>
  <c r="H13" i="21" s="1"/>
  <c r="G10" i="15"/>
  <c r="G13" i="21" s="1"/>
  <c r="F10" i="15"/>
  <c r="F13" i="21" s="1"/>
  <c r="E10" i="15"/>
  <c r="E13" i="21" s="1"/>
  <c r="D10" i="15"/>
  <c r="D13" i="21" s="1"/>
  <c r="C10" i="15"/>
  <c r="C13" i="21" s="1"/>
  <c r="B10" i="15"/>
  <c r="B13" i="21" s="1"/>
  <c r="M9" i="15"/>
  <c r="M12" i="21" s="1"/>
  <c r="L9" i="15"/>
  <c r="L12" i="21" s="1"/>
  <c r="K9" i="15"/>
  <c r="K12" i="21" s="1"/>
  <c r="J9" i="15"/>
  <c r="J12" i="21" s="1"/>
  <c r="I9" i="15"/>
  <c r="I12" i="21" s="1"/>
  <c r="H9" i="15"/>
  <c r="H12" i="21" s="1"/>
  <c r="G9" i="15"/>
  <c r="G12" i="21" s="1"/>
  <c r="F9" i="15"/>
  <c r="F12" i="21" s="1"/>
  <c r="E9" i="15"/>
  <c r="E12" i="21" s="1"/>
  <c r="D9" i="15"/>
  <c r="D12" i="21" s="1"/>
  <c r="C9" i="15"/>
  <c r="C12" i="21" s="1"/>
  <c r="B9" i="15"/>
  <c r="M8" i="15"/>
  <c r="M11" i="21" s="1"/>
  <c r="L8" i="15"/>
  <c r="L11" i="21" s="1"/>
  <c r="K8" i="15"/>
  <c r="K11" i="21" s="1"/>
  <c r="J8" i="15"/>
  <c r="J11" i="21" s="1"/>
  <c r="I8" i="15"/>
  <c r="I11" i="21" s="1"/>
  <c r="H8" i="15"/>
  <c r="H11" i="21" s="1"/>
  <c r="G8" i="15"/>
  <c r="G11" i="21" s="1"/>
  <c r="F8" i="15"/>
  <c r="F11" i="21" s="1"/>
  <c r="E8" i="15"/>
  <c r="E11" i="21" s="1"/>
  <c r="D8" i="15"/>
  <c r="D11" i="21" s="1"/>
  <c r="C8" i="15"/>
  <c r="C11" i="21" s="1"/>
  <c r="B8" i="15"/>
  <c r="B11" i="21" s="1"/>
  <c r="M7" i="15"/>
  <c r="M10" i="21" s="1"/>
  <c r="L7" i="15"/>
  <c r="L10" i="21" s="1"/>
  <c r="K7" i="15"/>
  <c r="K10" i="21" s="1"/>
  <c r="J7" i="15"/>
  <c r="J10" i="21" s="1"/>
  <c r="I7" i="15"/>
  <c r="I10" i="21" s="1"/>
  <c r="H7" i="15"/>
  <c r="H10" i="21" s="1"/>
  <c r="G7" i="15"/>
  <c r="G10" i="21" s="1"/>
  <c r="F7" i="15"/>
  <c r="F10" i="21" s="1"/>
  <c r="E7" i="15"/>
  <c r="D7" i="15"/>
  <c r="D10" i="21" s="1"/>
  <c r="C7" i="15"/>
  <c r="C10" i="21" s="1"/>
  <c r="B7" i="15"/>
  <c r="B10" i="21" s="1"/>
  <c r="M6" i="15"/>
  <c r="M9" i="21" s="1"/>
  <c r="L6" i="15"/>
  <c r="K6" i="15"/>
  <c r="K9" i="21" s="1"/>
  <c r="J6" i="15"/>
  <c r="J9" i="21" s="1"/>
  <c r="I6" i="15"/>
  <c r="I9" i="21" s="1"/>
  <c r="H6" i="15"/>
  <c r="G6" i="15"/>
  <c r="G9" i="21" s="1"/>
  <c r="F6" i="15"/>
  <c r="F9" i="21" s="1"/>
  <c r="E6" i="15"/>
  <c r="E9" i="21" s="1"/>
  <c r="D6" i="15"/>
  <c r="D9" i="21" s="1"/>
  <c r="C6" i="15"/>
  <c r="C9" i="21" s="1"/>
  <c r="B6" i="15"/>
  <c r="B11" i="15" s="1"/>
  <c r="B29" i="12"/>
  <c r="C26" i="12"/>
  <c r="B26" i="12"/>
  <c r="D26" i="12" s="1"/>
  <c r="C25" i="12"/>
  <c r="B25" i="12"/>
  <c r="C22" i="12"/>
  <c r="B22" i="12"/>
  <c r="C21" i="12"/>
  <c r="B21" i="12"/>
  <c r="D21" i="12" s="1"/>
  <c r="B15" i="12"/>
  <c r="C12" i="12"/>
  <c r="B12" i="12"/>
  <c r="C11" i="12"/>
  <c r="B11" i="12"/>
  <c r="D11" i="12" s="1"/>
  <c r="C8" i="12"/>
  <c r="B8" i="12"/>
  <c r="C7" i="12"/>
  <c r="B7" i="12"/>
  <c r="B13" i="10"/>
  <c r="G11" i="10" s="1"/>
  <c r="D12" i="10"/>
  <c r="D11" i="10"/>
  <c r="B7" i="10"/>
  <c r="D6" i="10"/>
  <c r="D5" i="10"/>
  <c r="D7" i="10" s="1"/>
  <c r="M11" i="5"/>
  <c r="L11" i="5"/>
  <c r="K11" i="5"/>
  <c r="J11" i="5"/>
  <c r="I11" i="5"/>
  <c r="H11" i="5"/>
  <c r="G11" i="5"/>
  <c r="F11" i="5"/>
  <c r="E11" i="5"/>
  <c r="D11" i="5"/>
  <c r="C11" i="5"/>
  <c r="B11" i="5"/>
  <c r="M6" i="5"/>
  <c r="L6" i="5"/>
  <c r="K6" i="5"/>
  <c r="J6" i="5"/>
  <c r="I6" i="5"/>
  <c r="H6" i="5"/>
  <c r="G6" i="5"/>
  <c r="F6" i="5"/>
  <c r="E6" i="5"/>
  <c r="D6" i="5"/>
  <c r="C6" i="5"/>
  <c r="B6" i="5"/>
  <c r="C7" i="4"/>
  <c r="C8" i="4" s="1"/>
  <c r="C10" i="4" s="1"/>
  <c r="G9" i="1" s="1"/>
  <c r="B7" i="4"/>
  <c r="C6" i="4"/>
  <c r="B6" i="4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J10" i="3" s="1"/>
  <c r="J28" i="17" s="1"/>
  <c r="I6" i="3"/>
  <c r="H6" i="3"/>
  <c r="H10" i="3" s="1"/>
  <c r="H28" i="17" s="1"/>
  <c r="G6" i="3"/>
  <c r="F6" i="3"/>
  <c r="E6" i="3"/>
  <c r="D6" i="3"/>
  <c r="D10" i="3" s="1"/>
  <c r="D28" i="17" s="1"/>
  <c r="C6" i="3"/>
  <c r="B6" i="3"/>
  <c r="C7" i="2"/>
  <c r="J11" i="3" s="1"/>
  <c r="B7" i="2"/>
  <c r="C5" i="2"/>
  <c r="G10" i="3" s="1"/>
  <c r="G28" i="17" s="1"/>
  <c r="B5" i="2"/>
  <c r="D25" i="1"/>
  <c r="D24" i="1"/>
  <c r="D23" i="1"/>
  <c r="I19" i="1"/>
  <c r="P18" i="1"/>
  <c r="O18" i="1"/>
  <c r="L18" i="1"/>
  <c r="K18" i="1"/>
  <c r="I18" i="1"/>
  <c r="F18" i="1"/>
  <c r="F17" i="1"/>
  <c r="I15" i="1"/>
  <c r="B7" i="16" s="1"/>
  <c r="I14" i="1"/>
  <c r="F14" i="1"/>
  <c r="B6" i="16" s="1"/>
  <c r="F13" i="1"/>
  <c r="B5" i="16" s="1"/>
  <c r="D13" i="10" l="1"/>
  <c r="F11" i="10" s="1"/>
  <c r="H21" i="11"/>
  <c r="H20" i="11" s="1"/>
  <c r="F44" i="1"/>
  <c r="F39" i="1"/>
  <c r="K21" i="11"/>
  <c r="K19" i="11" s="1"/>
  <c r="F38" i="1"/>
  <c r="I21" i="11"/>
  <c r="F37" i="1"/>
  <c r="C21" i="11"/>
  <c r="C19" i="11" s="1"/>
  <c r="F48" i="1"/>
  <c r="H19" i="14" s="1"/>
  <c r="F36" i="1"/>
  <c r="F47" i="1"/>
  <c r="F35" i="1"/>
  <c r="I34" i="14" s="1"/>
  <c r="F46" i="1"/>
  <c r="K17" i="14" s="1"/>
  <c r="F45" i="1"/>
  <c r="D8" i="12"/>
  <c r="D22" i="12"/>
  <c r="E23" i="12"/>
  <c r="B8" i="4"/>
  <c r="B10" i="4" s="1"/>
  <c r="D9" i="1" s="1"/>
  <c r="M11" i="3"/>
  <c r="K11" i="3"/>
  <c r="K34" i="17" s="1"/>
  <c r="L11" i="15"/>
  <c r="E11" i="3"/>
  <c r="E15" i="3" s="1"/>
  <c r="D14" i="21"/>
  <c r="C11" i="3"/>
  <c r="C34" i="17" s="1"/>
  <c r="F14" i="21"/>
  <c r="N6" i="3"/>
  <c r="D11" i="15"/>
  <c r="D7" i="12"/>
  <c r="G11" i="15"/>
  <c r="M34" i="17"/>
  <c r="M15" i="3"/>
  <c r="J13" i="5"/>
  <c r="J33" i="17" s="1"/>
  <c r="B13" i="5"/>
  <c r="B33" i="17" s="1"/>
  <c r="I13" i="5"/>
  <c r="I33" i="17" s="1"/>
  <c r="N12" i="13"/>
  <c r="E13" i="5"/>
  <c r="E33" i="17" s="1"/>
  <c r="K13" i="5"/>
  <c r="K33" i="17" s="1"/>
  <c r="H13" i="5"/>
  <c r="H33" i="17" s="1"/>
  <c r="G13" i="5"/>
  <c r="G33" i="17" s="1"/>
  <c r="F13" i="5"/>
  <c r="F33" i="17" s="1"/>
  <c r="M13" i="5"/>
  <c r="M33" i="17" s="1"/>
  <c r="L13" i="5"/>
  <c r="L33" i="17" s="1"/>
  <c r="D13" i="5"/>
  <c r="D33" i="17" s="1"/>
  <c r="C13" i="5"/>
  <c r="C33" i="17" s="1"/>
  <c r="E5" i="10"/>
  <c r="J8" i="5"/>
  <c r="J27" i="17" s="1"/>
  <c r="B8" i="5"/>
  <c r="B27" i="17" s="1"/>
  <c r="D8" i="6"/>
  <c r="I8" i="5"/>
  <c r="I27" i="17" s="1"/>
  <c r="M8" i="5"/>
  <c r="M27" i="17" s="1"/>
  <c r="C8" i="5"/>
  <c r="C27" i="17" s="1"/>
  <c r="C8" i="6"/>
  <c r="H8" i="5"/>
  <c r="H27" i="17" s="1"/>
  <c r="G8" i="5"/>
  <c r="G27" i="17" s="1"/>
  <c r="E8" i="5"/>
  <c r="E27" i="17" s="1"/>
  <c r="D9" i="6"/>
  <c r="C7" i="6"/>
  <c r="F8" i="5"/>
  <c r="F27" i="17" s="1"/>
  <c r="K8" i="5"/>
  <c r="K27" i="17" s="1"/>
  <c r="L8" i="5"/>
  <c r="L27" i="17" s="1"/>
  <c r="D8" i="5"/>
  <c r="D27" i="17" s="1"/>
  <c r="J34" i="17"/>
  <c r="J15" i="3"/>
  <c r="B17" i="18"/>
  <c r="I25" i="11"/>
  <c r="H25" i="11"/>
  <c r="F16" i="11"/>
  <c r="G25" i="11"/>
  <c r="N25" i="11"/>
  <c r="F25" i="11"/>
  <c r="M25" i="11"/>
  <c r="E25" i="11"/>
  <c r="K25" i="11"/>
  <c r="C25" i="11"/>
  <c r="D25" i="11"/>
  <c r="B25" i="11"/>
  <c r="L25" i="11"/>
  <c r="J25" i="11"/>
  <c r="I15" i="14"/>
  <c r="N9" i="13"/>
  <c r="I19" i="14"/>
  <c r="N13" i="13"/>
  <c r="N7" i="3"/>
  <c r="I10" i="3"/>
  <c r="I28" i="17" s="1"/>
  <c r="D11" i="3"/>
  <c r="L11" i="3"/>
  <c r="G14" i="3"/>
  <c r="B10" i="3"/>
  <c r="B14" i="3" s="1"/>
  <c r="H14" i="3"/>
  <c r="E9" i="12"/>
  <c r="K16" i="14"/>
  <c r="N10" i="13"/>
  <c r="I16" i="14"/>
  <c r="C10" i="3"/>
  <c r="C28" i="17" s="1"/>
  <c r="K10" i="3"/>
  <c r="K28" i="17" s="1"/>
  <c r="F11" i="3"/>
  <c r="F34" i="17" s="1"/>
  <c r="C29" i="12"/>
  <c r="D29" i="12" s="1"/>
  <c r="E29" i="12" s="1"/>
  <c r="D25" i="12"/>
  <c r="E27" i="12" s="1"/>
  <c r="C15" i="12"/>
  <c r="D15" i="12" s="1"/>
  <c r="E15" i="12" s="1"/>
  <c r="D12" i="12"/>
  <c r="E13" i="12" s="1"/>
  <c r="D5" i="2"/>
  <c r="D5" i="20" s="1"/>
  <c r="L10" i="3"/>
  <c r="L28" i="17" s="1"/>
  <c r="G11" i="3"/>
  <c r="J14" i="3"/>
  <c r="J17" i="3" s="1"/>
  <c r="J5" i="21" s="1"/>
  <c r="N18" i="13"/>
  <c r="E10" i="3"/>
  <c r="E28" i="17" s="1"/>
  <c r="M10" i="3"/>
  <c r="M28" i="17" s="1"/>
  <c r="H11" i="3"/>
  <c r="H34" i="17" s="1"/>
  <c r="K15" i="3"/>
  <c r="F10" i="3"/>
  <c r="I11" i="3"/>
  <c r="D14" i="3"/>
  <c r="I35" i="14"/>
  <c r="I19" i="11"/>
  <c r="I38" i="14"/>
  <c r="I20" i="11"/>
  <c r="N21" i="13"/>
  <c r="K18" i="14"/>
  <c r="I18" i="14"/>
  <c r="D7" i="2"/>
  <c r="D6" i="20" s="1"/>
  <c r="B11" i="3"/>
  <c r="H38" i="14"/>
  <c r="K38" i="14"/>
  <c r="K20" i="11"/>
  <c r="K35" i="14"/>
  <c r="B21" i="11"/>
  <c r="J21" i="11"/>
  <c r="J15" i="14" s="1"/>
  <c r="N8" i="15"/>
  <c r="D14" i="20" s="1"/>
  <c r="D21" i="11"/>
  <c r="L21" i="11"/>
  <c r="H9" i="21"/>
  <c r="H14" i="21" s="1"/>
  <c r="H11" i="15"/>
  <c r="J11" i="15"/>
  <c r="E21" i="11"/>
  <c r="M21" i="11"/>
  <c r="M15" i="14" s="1"/>
  <c r="E10" i="21"/>
  <c r="E14" i="21" s="1"/>
  <c r="E11" i="15"/>
  <c r="M11" i="15"/>
  <c r="G14" i="21"/>
  <c r="D16" i="11"/>
  <c r="F21" i="11"/>
  <c r="F19" i="14" s="1"/>
  <c r="B9" i="21"/>
  <c r="N6" i="15"/>
  <c r="J14" i="21"/>
  <c r="G21" i="11"/>
  <c r="C14" i="21"/>
  <c r="K14" i="21"/>
  <c r="N11" i="21"/>
  <c r="I14" i="21"/>
  <c r="N9" i="15"/>
  <c r="D15" i="20" s="1"/>
  <c r="N10" i="15"/>
  <c r="D16" i="20" s="1"/>
  <c r="K11" i="15"/>
  <c r="N7" i="15"/>
  <c r="D13" i="20" s="1"/>
  <c r="C11" i="15"/>
  <c r="L9" i="21"/>
  <c r="L14" i="21" s="1"/>
  <c r="N13" i="21"/>
  <c r="F11" i="15"/>
  <c r="M14" i="21"/>
  <c r="I11" i="15"/>
  <c r="B12" i="21"/>
  <c r="N12" i="21" s="1"/>
  <c r="I36" i="14" l="1"/>
  <c r="K37" i="14"/>
  <c r="C14" i="3"/>
  <c r="E34" i="17"/>
  <c r="I14" i="3"/>
  <c r="N19" i="13"/>
  <c r="N17" i="13"/>
  <c r="C36" i="14"/>
  <c r="D17" i="14"/>
  <c r="C38" i="14"/>
  <c r="I37" i="14"/>
  <c r="I39" i="14" s="1"/>
  <c r="C15" i="14"/>
  <c r="I17" i="14"/>
  <c r="I20" i="14" s="1"/>
  <c r="H34" i="14"/>
  <c r="H18" i="14"/>
  <c r="C20" i="11"/>
  <c r="C17" i="14"/>
  <c r="H15" i="14"/>
  <c r="H19" i="11"/>
  <c r="C37" i="14"/>
  <c r="E19" i="14"/>
  <c r="B19" i="14"/>
  <c r="H36" i="14"/>
  <c r="C18" i="14"/>
  <c r="C34" i="14"/>
  <c r="H17" i="14"/>
  <c r="N20" i="13"/>
  <c r="O22" i="13" s="1"/>
  <c r="K34" i="14"/>
  <c r="H37" i="14"/>
  <c r="H16" i="14"/>
  <c r="N11" i="13"/>
  <c r="K19" i="14"/>
  <c r="K15" i="14"/>
  <c r="H35" i="14"/>
  <c r="C19" i="14"/>
  <c r="L19" i="14"/>
  <c r="K36" i="14"/>
  <c r="K39" i="14" s="1"/>
  <c r="C16" i="14"/>
  <c r="C20" i="14" s="1"/>
  <c r="C35" i="14"/>
  <c r="D19" i="14"/>
  <c r="F16" i="14"/>
  <c r="E14" i="3"/>
  <c r="E17" i="3" s="1"/>
  <c r="E5" i="21" s="1"/>
  <c r="K14" i="3"/>
  <c r="K17" i="3" s="1"/>
  <c r="K5" i="21" s="1"/>
  <c r="E31" i="12"/>
  <c r="B11" i="16" s="1"/>
  <c r="D11" i="16" s="1"/>
  <c r="C21" i="18" s="1"/>
  <c r="C15" i="3"/>
  <c r="C17" i="3" s="1"/>
  <c r="C5" i="21" s="1"/>
  <c r="J19" i="14"/>
  <c r="N10" i="21"/>
  <c r="K20" i="14"/>
  <c r="L18" i="14"/>
  <c r="B16" i="14"/>
  <c r="L17" i="14"/>
  <c r="E15" i="14"/>
  <c r="D38" i="14"/>
  <c r="D36" i="14"/>
  <c r="D34" i="14"/>
  <c r="D37" i="14"/>
  <c r="D35" i="14"/>
  <c r="D20" i="11"/>
  <c r="D19" i="11"/>
  <c r="B17" i="14"/>
  <c r="E16" i="14"/>
  <c r="F15" i="14"/>
  <c r="B18" i="19"/>
  <c r="B23" i="11"/>
  <c r="B24" i="11"/>
  <c r="L18" i="19"/>
  <c r="G23" i="11"/>
  <c r="G24" i="11"/>
  <c r="M9" i="7"/>
  <c r="E9" i="7"/>
  <c r="L9" i="7"/>
  <c r="D9" i="7"/>
  <c r="K9" i="7"/>
  <c r="C9" i="7"/>
  <c r="I9" i="7"/>
  <c r="J9" i="7"/>
  <c r="H9" i="7"/>
  <c r="D15" i="6"/>
  <c r="E15" i="6" s="1"/>
  <c r="G9" i="7"/>
  <c r="F9" i="7"/>
  <c r="B9" i="7"/>
  <c r="E9" i="6"/>
  <c r="E7" i="8" s="1"/>
  <c r="J8" i="7"/>
  <c r="J15" i="7" s="1"/>
  <c r="B8" i="7"/>
  <c r="I8" i="7"/>
  <c r="I15" i="7" s="1"/>
  <c r="H8" i="7"/>
  <c r="H15" i="7" s="1"/>
  <c r="D7" i="8"/>
  <c r="F8" i="7"/>
  <c r="F15" i="7" s="1"/>
  <c r="G8" i="7"/>
  <c r="G15" i="7" s="1"/>
  <c r="E8" i="7"/>
  <c r="E15" i="7" s="1"/>
  <c r="D8" i="7"/>
  <c r="D15" i="7" s="1"/>
  <c r="C8" i="7"/>
  <c r="D14" i="6"/>
  <c r="M8" i="7"/>
  <c r="M15" i="7" s="1"/>
  <c r="L8" i="7"/>
  <c r="L15" i="7" s="1"/>
  <c r="K8" i="7"/>
  <c r="K15" i="7" s="1"/>
  <c r="D12" i="20"/>
  <c r="E16" i="20" s="1"/>
  <c r="N11" i="15"/>
  <c r="F28" i="17"/>
  <c r="F14" i="3"/>
  <c r="M19" i="14"/>
  <c r="E38" i="14"/>
  <c r="E36" i="14"/>
  <c r="E34" i="14"/>
  <c r="E20" i="11"/>
  <c r="E35" i="14"/>
  <c r="E37" i="14"/>
  <c r="E19" i="11"/>
  <c r="J16" i="14"/>
  <c r="G37" i="14"/>
  <c r="G35" i="14"/>
  <c r="G36" i="14"/>
  <c r="G38" i="14"/>
  <c r="G19" i="11"/>
  <c r="G20" i="11"/>
  <c r="G34" i="14"/>
  <c r="B34" i="17"/>
  <c r="N11" i="3"/>
  <c r="B15" i="3"/>
  <c r="B17" i="3" s="1"/>
  <c r="D18" i="14"/>
  <c r="I34" i="17"/>
  <c r="I15" i="3"/>
  <c r="I17" i="3" s="1"/>
  <c r="I5" i="21" s="1"/>
  <c r="F15" i="3"/>
  <c r="E17" i="14"/>
  <c r="J17" i="14"/>
  <c r="M16" i="14"/>
  <c r="G15" i="14"/>
  <c r="F18" i="19"/>
  <c r="D24" i="11"/>
  <c r="D23" i="11"/>
  <c r="L34" i="17"/>
  <c r="L15" i="3"/>
  <c r="B14" i="21"/>
  <c r="N14" i="21" s="1"/>
  <c r="N9" i="21"/>
  <c r="E18" i="14"/>
  <c r="B37" i="14"/>
  <c r="B35" i="14"/>
  <c r="B38" i="14"/>
  <c r="B36" i="14"/>
  <c r="B34" i="14"/>
  <c r="B19" i="11"/>
  <c r="N21" i="11"/>
  <c r="B20" i="11"/>
  <c r="M18" i="14"/>
  <c r="F17" i="14"/>
  <c r="E17" i="12"/>
  <c r="B10" i="16" s="1"/>
  <c r="D10" i="16" s="1"/>
  <c r="B15" i="14"/>
  <c r="H18" i="19"/>
  <c r="E24" i="11"/>
  <c r="E23" i="11"/>
  <c r="G7" i="7"/>
  <c r="C14" i="6"/>
  <c r="F7" i="7"/>
  <c r="M7" i="7"/>
  <c r="E7" i="7"/>
  <c r="C7" i="8"/>
  <c r="K7" i="7"/>
  <c r="C7" i="7"/>
  <c r="D7" i="7"/>
  <c r="E8" i="6"/>
  <c r="B7" i="7"/>
  <c r="J7" i="7"/>
  <c r="L7" i="7"/>
  <c r="H7" i="7"/>
  <c r="I7" i="7"/>
  <c r="B35" i="17"/>
  <c r="N18" i="19"/>
  <c r="H23" i="11"/>
  <c r="H24" i="11"/>
  <c r="G34" i="17"/>
  <c r="G15" i="3"/>
  <c r="G17" i="3" s="1"/>
  <c r="G5" i="21" s="1"/>
  <c r="G5" i="10"/>
  <c r="F5" i="10"/>
  <c r="F18" i="14"/>
  <c r="G17" i="14"/>
  <c r="E6" i="20"/>
  <c r="O14" i="13"/>
  <c r="X18" i="19"/>
  <c r="M24" i="11"/>
  <c r="M23" i="11"/>
  <c r="M38" i="14"/>
  <c r="M36" i="14"/>
  <c r="M34" i="14"/>
  <c r="M20" i="11"/>
  <c r="M35" i="14"/>
  <c r="M37" i="14"/>
  <c r="M19" i="11"/>
  <c r="J37" i="14"/>
  <c r="J35" i="14"/>
  <c r="J38" i="14"/>
  <c r="J36" i="14"/>
  <c r="J34" i="14"/>
  <c r="J19" i="11"/>
  <c r="J20" i="11"/>
  <c r="D34" i="17"/>
  <c r="D15" i="3"/>
  <c r="D17" i="3" s="1"/>
  <c r="D5" i="21" s="1"/>
  <c r="P18" i="19"/>
  <c r="I23" i="11"/>
  <c r="I24" i="11"/>
  <c r="F38" i="14"/>
  <c r="F36" i="14"/>
  <c r="F34" i="14"/>
  <c r="F37" i="14"/>
  <c r="F35" i="14"/>
  <c r="F19" i="11"/>
  <c r="F20" i="11"/>
  <c r="B18" i="14"/>
  <c r="J18" i="14"/>
  <c r="C39" i="14"/>
  <c r="G16" i="14"/>
  <c r="D16" i="14"/>
  <c r="B28" i="17"/>
  <c r="B29" i="17" s="1"/>
  <c r="N10" i="3"/>
  <c r="G19" i="14"/>
  <c r="D15" i="14"/>
  <c r="R18" i="19"/>
  <c r="J23" i="11"/>
  <c r="J24" i="11"/>
  <c r="J18" i="19"/>
  <c r="F24" i="11"/>
  <c r="F23" i="11"/>
  <c r="H15" i="3"/>
  <c r="H17" i="3" s="1"/>
  <c r="H5" i="21" s="1"/>
  <c r="C23" i="11"/>
  <c r="C24" i="11"/>
  <c r="D18" i="19"/>
  <c r="T18" i="19"/>
  <c r="K23" i="11"/>
  <c r="K24" i="11"/>
  <c r="L38" i="14"/>
  <c r="L36" i="14"/>
  <c r="L34" i="14"/>
  <c r="L37" i="14"/>
  <c r="L35" i="14"/>
  <c r="L20" i="11"/>
  <c r="L19" i="11"/>
  <c r="L14" i="3"/>
  <c r="M17" i="14"/>
  <c r="L16" i="14"/>
  <c r="L15" i="14"/>
  <c r="V18" i="19"/>
  <c r="L24" i="11"/>
  <c r="L23" i="11"/>
  <c r="M14" i="3"/>
  <c r="M17" i="3" s="1"/>
  <c r="M5" i="21" s="1"/>
  <c r="L5" i="7"/>
  <c r="D5" i="7"/>
  <c r="K5" i="7"/>
  <c r="C5" i="7"/>
  <c r="J5" i="7"/>
  <c r="B5" i="7"/>
  <c r="H5" i="7"/>
  <c r="G5" i="7"/>
  <c r="E5" i="7"/>
  <c r="M5" i="7"/>
  <c r="E7" i="6"/>
  <c r="B7" i="8" s="1"/>
  <c r="C13" i="6"/>
  <c r="I5" i="7"/>
  <c r="F5" i="7"/>
  <c r="G18" i="14"/>
  <c r="H39" i="14" l="1"/>
  <c r="N37" i="14"/>
  <c r="N35" i="14"/>
  <c r="N18" i="14"/>
  <c r="N19" i="14"/>
  <c r="N34" i="14"/>
  <c r="N17" i="14"/>
  <c r="T19" i="19"/>
  <c r="N15" i="14"/>
  <c r="N36" i="14"/>
  <c r="N38" i="14"/>
  <c r="N16" i="14"/>
  <c r="O24" i="13"/>
  <c r="B18" i="18" s="1"/>
  <c r="H20" i="14"/>
  <c r="N19" i="19" s="1"/>
  <c r="D19" i="19"/>
  <c r="M20" i="14"/>
  <c r="B39" i="14"/>
  <c r="J20" i="14"/>
  <c r="D39" i="14"/>
  <c r="F39" i="14"/>
  <c r="N14" i="3"/>
  <c r="L20" i="14"/>
  <c r="J39" i="14"/>
  <c r="D20" i="14"/>
  <c r="E14" i="6"/>
  <c r="C12" i="19"/>
  <c r="E6" i="19" s="1"/>
  <c r="C26" i="17"/>
  <c r="C29" i="17" s="1"/>
  <c r="B5" i="21"/>
  <c r="C15" i="17"/>
  <c r="C14" i="7"/>
  <c r="I21" i="17"/>
  <c r="J19" i="17" s="1"/>
  <c r="I16" i="7"/>
  <c r="P17" i="19" s="1"/>
  <c r="B6" i="18"/>
  <c r="E13" i="6"/>
  <c r="C9" i="17"/>
  <c r="C12" i="7"/>
  <c r="P19" i="19"/>
  <c r="I15" i="17"/>
  <c r="I14" i="7"/>
  <c r="K15" i="17"/>
  <c r="K14" i="7"/>
  <c r="N19" i="11"/>
  <c r="E39" i="14"/>
  <c r="C21" i="17"/>
  <c r="D19" i="17" s="1"/>
  <c r="C16" i="7"/>
  <c r="D17" i="19" s="1"/>
  <c r="K9" i="17"/>
  <c r="K12" i="7"/>
  <c r="B21" i="17"/>
  <c r="C25" i="1"/>
  <c r="B16" i="7"/>
  <c r="L39" i="14"/>
  <c r="L15" i="17"/>
  <c r="L14" i="7"/>
  <c r="E15" i="17"/>
  <c r="E14" i="7"/>
  <c r="B20" i="14"/>
  <c r="F21" i="17"/>
  <c r="G19" i="17" s="1"/>
  <c r="F16" i="7"/>
  <c r="J17" i="19" s="1"/>
  <c r="D21" i="17"/>
  <c r="E19" i="17" s="1"/>
  <c r="D16" i="7"/>
  <c r="F17" i="19" s="1"/>
  <c r="N24" i="11"/>
  <c r="E20" i="14"/>
  <c r="J9" i="17"/>
  <c r="J12" i="7"/>
  <c r="G20" i="14"/>
  <c r="H15" i="17"/>
  <c r="H14" i="7"/>
  <c r="L9" i="17"/>
  <c r="L12" i="7"/>
  <c r="M39" i="14"/>
  <c r="J15" i="17"/>
  <c r="J14" i="7"/>
  <c r="M15" i="17"/>
  <c r="M14" i="7"/>
  <c r="C11" i="18"/>
  <c r="E12" i="16"/>
  <c r="G21" i="17"/>
  <c r="H19" i="17" s="1"/>
  <c r="G16" i="7"/>
  <c r="L21" i="17"/>
  <c r="M19" i="17" s="1"/>
  <c r="L16" i="7"/>
  <c r="V17" i="19" s="1"/>
  <c r="N23" i="11"/>
  <c r="C32" i="17"/>
  <c r="C35" i="17" s="1"/>
  <c r="C22" i="19"/>
  <c r="E16" i="19" s="1"/>
  <c r="D9" i="17"/>
  <c r="D12" i="7"/>
  <c r="B15" i="17"/>
  <c r="B14" i="7"/>
  <c r="C24" i="1"/>
  <c r="F15" i="17"/>
  <c r="F14" i="7"/>
  <c r="G39" i="14"/>
  <c r="E21" i="17"/>
  <c r="F19" i="17" s="1"/>
  <c r="E16" i="7"/>
  <c r="H17" i="19" s="1"/>
  <c r="H9" i="11"/>
  <c r="G9" i="11"/>
  <c r="F9" i="11"/>
  <c r="D4" i="11"/>
  <c r="M9" i="11"/>
  <c r="E9" i="11"/>
  <c r="L9" i="11"/>
  <c r="D9" i="11"/>
  <c r="J9" i="11"/>
  <c r="B9" i="11"/>
  <c r="C47" i="1"/>
  <c r="F12" i="13" s="1"/>
  <c r="C35" i="1"/>
  <c r="F17" i="13" s="1"/>
  <c r="C38" i="1"/>
  <c r="F20" i="13" s="1"/>
  <c r="C39" i="1"/>
  <c r="F21" i="13" s="1"/>
  <c r="C37" i="1"/>
  <c r="F19" i="13" s="1"/>
  <c r="C36" i="1"/>
  <c r="F18" i="13" s="1"/>
  <c r="C46" i="1"/>
  <c r="F11" i="13" s="1"/>
  <c r="I9" i="11"/>
  <c r="C48" i="1"/>
  <c r="F13" i="13" s="1"/>
  <c r="C45" i="1"/>
  <c r="F10" i="13" s="1"/>
  <c r="K9" i="11"/>
  <c r="C9" i="11"/>
  <c r="C44" i="1"/>
  <c r="F9" i="13" s="1"/>
  <c r="L17" i="19"/>
  <c r="M12" i="7"/>
  <c r="M9" i="17"/>
  <c r="G9" i="17"/>
  <c r="G12" i="7"/>
  <c r="L17" i="3"/>
  <c r="L5" i="21" s="1"/>
  <c r="H9" i="17"/>
  <c r="H12" i="7"/>
  <c r="B16" i="18"/>
  <c r="C19" i="18" s="1"/>
  <c r="C20" i="18" s="1"/>
  <c r="D22" i="18" s="1"/>
  <c r="D9" i="20" s="1"/>
  <c r="H21" i="17"/>
  <c r="I19" i="17" s="1"/>
  <c r="H16" i="7"/>
  <c r="N17" i="19" s="1"/>
  <c r="M21" i="17"/>
  <c r="M16" i="7"/>
  <c r="X17" i="19" s="1"/>
  <c r="F20" i="14"/>
  <c r="J19" i="19" s="1"/>
  <c r="I9" i="17"/>
  <c r="I12" i="7"/>
  <c r="N15" i="3"/>
  <c r="K21" i="17"/>
  <c r="L19" i="17" s="1"/>
  <c r="K16" i="7"/>
  <c r="T17" i="19" s="1"/>
  <c r="E9" i="17"/>
  <c r="E12" i="7"/>
  <c r="F9" i="17"/>
  <c r="F12" i="7"/>
  <c r="B9" i="17"/>
  <c r="C23" i="1"/>
  <c r="B12" i="7"/>
  <c r="B7" i="18"/>
  <c r="I13" i="11"/>
  <c r="H13" i="11"/>
  <c r="F4" i="11"/>
  <c r="G13" i="11"/>
  <c r="F13" i="11"/>
  <c r="M13" i="11"/>
  <c r="E13" i="11"/>
  <c r="K13" i="11"/>
  <c r="C13" i="11"/>
  <c r="B13" i="11"/>
  <c r="L13" i="11"/>
  <c r="J13" i="11"/>
  <c r="D13" i="11"/>
  <c r="D15" i="17"/>
  <c r="D14" i="7"/>
  <c r="G15" i="17"/>
  <c r="G14" i="7"/>
  <c r="N20" i="11"/>
  <c r="F17" i="3"/>
  <c r="F5" i="21" s="1"/>
  <c r="J21" i="17"/>
  <c r="K19" i="17" s="1"/>
  <c r="J16" i="7"/>
  <c r="R17" i="19" s="1"/>
  <c r="U20" i="19" l="1"/>
  <c r="B19" i="19"/>
  <c r="N20" i="14"/>
  <c r="N39" i="14"/>
  <c r="O20" i="19"/>
  <c r="E20" i="19"/>
  <c r="E21" i="19" s="1"/>
  <c r="X19" i="19"/>
  <c r="Y20" i="19" s="1"/>
  <c r="H19" i="19"/>
  <c r="I20" i="19" s="1"/>
  <c r="V19" i="19"/>
  <c r="W20" i="19" s="1"/>
  <c r="Q20" i="19"/>
  <c r="F19" i="19"/>
  <c r="G20" i="19" s="1"/>
  <c r="K20" i="19"/>
  <c r="L19" i="19"/>
  <c r="M20" i="19" s="1"/>
  <c r="E16" i="6"/>
  <c r="R19" i="19"/>
  <c r="S20" i="19" s="1"/>
  <c r="T7" i="19"/>
  <c r="K17" i="7"/>
  <c r="H8" i="19"/>
  <c r="E12" i="11"/>
  <c r="E11" i="11"/>
  <c r="L7" i="19"/>
  <c r="G17" i="7"/>
  <c r="G22" i="13"/>
  <c r="F7" i="19"/>
  <c r="D17" i="7"/>
  <c r="K30" i="14"/>
  <c r="K28" i="14"/>
  <c r="K26" i="14"/>
  <c r="K10" i="14"/>
  <c r="K8" i="11"/>
  <c r="K11" i="14"/>
  <c r="K9" i="14"/>
  <c r="K8" i="14"/>
  <c r="K7" i="11"/>
  <c r="K29" i="14"/>
  <c r="K27" i="14"/>
  <c r="K7" i="14"/>
  <c r="B7" i="19"/>
  <c r="B17" i="7"/>
  <c r="B17" i="19"/>
  <c r="C20" i="19" s="1"/>
  <c r="C21" i="19" s="1"/>
  <c r="C23" i="19" s="1"/>
  <c r="F8" i="19"/>
  <c r="D12" i="11"/>
  <c r="D11" i="11"/>
  <c r="J8" i="19"/>
  <c r="F12" i="11"/>
  <c r="F11" i="11"/>
  <c r="I29" i="14"/>
  <c r="I27" i="14"/>
  <c r="I11" i="14"/>
  <c r="I26" i="14"/>
  <c r="I7" i="11"/>
  <c r="I28" i="14"/>
  <c r="I30" i="14"/>
  <c r="I10" i="14"/>
  <c r="I8" i="11"/>
  <c r="I8" i="14"/>
  <c r="I7" i="14"/>
  <c r="I9" i="14"/>
  <c r="B29" i="14"/>
  <c r="B27" i="14"/>
  <c r="B30" i="14"/>
  <c r="B28" i="14"/>
  <c r="B26" i="14"/>
  <c r="B11" i="14"/>
  <c r="B7" i="11"/>
  <c r="B10" i="14"/>
  <c r="B9" i="14"/>
  <c r="N9" i="11"/>
  <c r="B8" i="14"/>
  <c r="B8" i="11"/>
  <c r="B7" i="14"/>
  <c r="G29" i="14"/>
  <c r="G27" i="14"/>
  <c r="G7" i="14"/>
  <c r="G26" i="14"/>
  <c r="G28" i="14"/>
  <c r="G7" i="11"/>
  <c r="G9" i="14"/>
  <c r="G8" i="11"/>
  <c r="G10" i="14"/>
  <c r="G30" i="14"/>
  <c r="G8" i="14"/>
  <c r="G11" i="14"/>
  <c r="R7" i="19"/>
  <c r="J17" i="7"/>
  <c r="N17" i="3"/>
  <c r="T8" i="19"/>
  <c r="K11" i="11"/>
  <c r="K12" i="11"/>
  <c r="R8" i="19"/>
  <c r="J11" i="11"/>
  <c r="J12" i="11"/>
  <c r="L8" i="19"/>
  <c r="G11" i="11"/>
  <c r="G12" i="11"/>
  <c r="C5" i="16"/>
  <c r="D5" i="16" s="1"/>
  <c r="B8" i="8"/>
  <c r="B9" i="8" s="1"/>
  <c r="B11" i="8" s="1"/>
  <c r="X7" i="19"/>
  <c r="M17" i="7"/>
  <c r="J29" i="14"/>
  <c r="J27" i="14"/>
  <c r="J30" i="14"/>
  <c r="J28" i="14"/>
  <c r="J26" i="14"/>
  <c r="J7" i="11"/>
  <c r="J10" i="14"/>
  <c r="J8" i="11"/>
  <c r="J11" i="14"/>
  <c r="J9" i="14"/>
  <c r="J7" i="14"/>
  <c r="J8" i="14"/>
  <c r="H29" i="14"/>
  <c r="H27" i="14"/>
  <c r="H11" i="14"/>
  <c r="H9" i="14"/>
  <c r="H7" i="14"/>
  <c r="H30" i="14"/>
  <c r="H28" i="14"/>
  <c r="H26" i="14"/>
  <c r="H10" i="14"/>
  <c r="H8" i="14"/>
  <c r="H7" i="11"/>
  <c r="H8" i="11"/>
  <c r="C6" i="16"/>
  <c r="D6" i="16" s="1"/>
  <c r="C8" i="8"/>
  <c r="C9" i="8" s="1"/>
  <c r="C11" i="8" s="1"/>
  <c r="D8" i="8"/>
  <c r="D9" i="8" s="1"/>
  <c r="D11" i="8" s="1"/>
  <c r="D15" i="8" s="1"/>
  <c r="D17" i="8" s="1"/>
  <c r="N5" i="21"/>
  <c r="V8" i="19"/>
  <c r="L12" i="11"/>
  <c r="L11" i="11"/>
  <c r="P7" i="19"/>
  <c r="I17" i="7"/>
  <c r="D30" i="14"/>
  <c r="D28" i="14"/>
  <c r="D26" i="14"/>
  <c r="D10" i="14"/>
  <c r="D8" i="14"/>
  <c r="D29" i="14"/>
  <c r="D27" i="14"/>
  <c r="D11" i="14"/>
  <c r="D9" i="14"/>
  <c r="D7" i="14"/>
  <c r="D8" i="11"/>
  <c r="D7" i="11"/>
  <c r="D32" i="17"/>
  <c r="D35" i="17" s="1"/>
  <c r="E22" i="19"/>
  <c r="G16" i="19" s="1"/>
  <c r="L17" i="7"/>
  <c r="V7" i="19"/>
  <c r="X8" i="19"/>
  <c r="M12" i="11"/>
  <c r="M11" i="11"/>
  <c r="F30" i="14"/>
  <c r="F28" i="14"/>
  <c r="F26" i="14"/>
  <c r="F29" i="14"/>
  <c r="F27" i="14"/>
  <c r="F11" i="14"/>
  <c r="F8" i="14"/>
  <c r="F7" i="14"/>
  <c r="F7" i="11"/>
  <c r="F10" i="14"/>
  <c r="F8" i="11"/>
  <c r="F9" i="14"/>
  <c r="B8" i="19"/>
  <c r="B11" i="11"/>
  <c r="N13" i="11"/>
  <c r="B12" i="11"/>
  <c r="N8" i="19"/>
  <c r="H11" i="11"/>
  <c r="H12" i="11"/>
  <c r="J7" i="19"/>
  <c r="F17" i="7"/>
  <c r="N7" i="19"/>
  <c r="H17" i="7"/>
  <c r="G14" i="13"/>
  <c r="G24" i="13" s="1"/>
  <c r="B8" i="18" s="1"/>
  <c r="C9" i="18" s="1"/>
  <c r="C10" i="18" s="1"/>
  <c r="D12" i="18" s="1"/>
  <c r="L30" i="14"/>
  <c r="L28" i="14"/>
  <c r="L26" i="14"/>
  <c r="L10" i="14"/>
  <c r="L8" i="14"/>
  <c r="L29" i="14"/>
  <c r="L27" i="14"/>
  <c r="L11" i="14"/>
  <c r="L9" i="14"/>
  <c r="L7" i="14"/>
  <c r="L8" i="11"/>
  <c r="L7" i="11"/>
  <c r="C7" i="16"/>
  <c r="D7" i="16" s="1"/>
  <c r="E8" i="8"/>
  <c r="E9" i="8" s="1"/>
  <c r="E11" i="8" s="1"/>
  <c r="D26" i="17"/>
  <c r="D29" i="17" s="1"/>
  <c r="E12" i="19"/>
  <c r="G6" i="19" s="1"/>
  <c r="H7" i="19"/>
  <c r="E17" i="7"/>
  <c r="M30" i="14"/>
  <c r="M28" i="14"/>
  <c r="M26" i="14"/>
  <c r="M8" i="11"/>
  <c r="M10" i="14"/>
  <c r="M11" i="14"/>
  <c r="M9" i="14"/>
  <c r="M8" i="14"/>
  <c r="M27" i="14"/>
  <c r="M7" i="14"/>
  <c r="M29" i="14"/>
  <c r="M7" i="11"/>
  <c r="C11" i="11"/>
  <c r="D8" i="19"/>
  <c r="C12" i="11"/>
  <c r="P8" i="19"/>
  <c r="I11" i="11"/>
  <c r="I12" i="11"/>
  <c r="C30" i="14"/>
  <c r="C28" i="14"/>
  <c r="C26" i="14"/>
  <c r="C10" i="14"/>
  <c r="C29" i="14"/>
  <c r="C9" i="14"/>
  <c r="C8" i="14"/>
  <c r="C8" i="11"/>
  <c r="C7" i="14"/>
  <c r="C27" i="14"/>
  <c r="C11" i="14"/>
  <c r="C7" i="11"/>
  <c r="E30" i="14"/>
  <c r="E28" i="14"/>
  <c r="E26" i="14"/>
  <c r="E29" i="14"/>
  <c r="E9" i="14"/>
  <c r="E8" i="11"/>
  <c r="E8" i="14"/>
  <c r="E7" i="14"/>
  <c r="E27" i="14"/>
  <c r="E11" i="14"/>
  <c r="E10" i="14"/>
  <c r="E7" i="11"/>
  <c r="C19" i="17"/>
  <c r="D7" i="19"/>
  <c r="C17" i="7"/>
  <c r="N17" i="7" l="1"/>
  <c r="N11" i="14"/>
  <c r="N7" i="14"/>
  <c r="N26" i="14"/>
  <c r="N28" i="14"/>
  <c r="N8" i="14"/>
  <c r="N30" i="14"/>
  <c r="N27" i="14"/>
  <c r="N9" i="14"/>
  <c r="N29" i="14"/>
  <c r="N10" i="14"/>
  <c r="G21" i="19"/>
  <c r="K12" i="14"/>
  <c r="J12" i="14"/>
  <c r="J22" i="14" s="1"/>
  <c r="D31" i="14"/>
  <c r="D41" i="14" s="1"/>
  <c r="M31" i="14"/>
  <c r="M41" i="14" s="1"/>
  <c r="M12" i="14"/>
  <c r="M22" i="14" s="1"/>
  <c r="J31" i="14"/>
  <c r="J41" i="14" s="1"/>
  <c r="D8" i="20"/>
  <c r="E9" i="20" s="1"/>
  <c r="E10" i="20" s="1"/>
  <c r="E17" i="20" s="1"/>
  <c r="D24" i="18"/>
  <c r="K31" i="14"/>
  <c r="K41" i="14" s="1"/>
  <c r="N11" i="11"/>
  <c r="D12" i="14"/>
  <c r="E23" i="19"/>
  <c r="H31" i="14"/>
  <c r="H41" i="14" s="1"/>
  <c r="B12" i="14"/>
  <c r="B31" i="14"/>
  <c r="C31" i="14"/>
  <c r="C41" i="14" s="1"/>
  <c r="L9" i="9"/>
  <c r="L16" i="9" s="1"/>
  <c r="D9" i="9"/>
  <c r="D16" i="9" s="1"/>
  <c r="I8" i="9"/>
  <c r="K9" i="9"/>
  <c r="K16" i="9" s="1"/>
  <c r="C9" i="9"/>
  <c r="C16" i="9" s="1"/>
  <c r="H8" i="9"/>
  <c r="J9" i="9"/>
  <c r="J16" i="9" s="1"/>
  <c r="B9" i="9"/>
  <c r="B16" i="9" s="1"/>
  <c r="G8" i="9"/>
  <c r="I9" i="9"/>
  <c r="I16" i="9" s="1"/>
  <c r="F8" i="9"/>
  <c r="H9" i="9"/>
  <c r="H16" i="9" s="1"/>
  <c r="M8" i="9"/>
  <c r="E8" i="9"/>
  <c r="C15" i="8"/>
  <c r="C17" i="8" s="1"/>
  <c r="F9" i="9"/>
  <c r="F16" i="9" s="1"/>
  <c r="K8" i="9"/>
  <c r="C8" i="9"/>
  <c r="C15" i="9" s="1"/>
  <c r="B8" i="9"/>
  <c r="B15" i="9" s="1"/>
  <c r="L8" i="9"/>
  <c r="M9" i="9"/>
  <c r="M16" i="9" s="1"/>
  <c r="G9" i="9"/>
  <c r="G16" i="9" s="1"/>
  <c r="D8" i="9"/>
  <c r="D15" i="9" s="1"/>
  <c r="E9" i="9"/>
  <c r="E16" i="9" s="1"/>
  <c r="J8" i="9"/>
  <c r="L31" i="14"/>
  <c r="L41" i="14" s="1"/>
  <c r="F31" i="14"/>
  <c r="F41" i="14" s="1"/>
  <c r="H12" i="14"/>
  <c r="N7" i="11"/>
  <c r="N8" i="11"/>
  <c r="L12" i="14"/>
  <c r="G31" i="14"/>
  <c r="G41" i="14" s="1"/>
  <c r="E8" i="16"/>
  <c r="C12" i="14"/>
  <c r="G12" i="19"/>
  <c r="I6" i="19" s="1"/>
  <c r="E26" i="17"/>
  <c r="E29" i="17" s="1"/>
  <c r="E32" i="17"/>
  <c r="E35" i="17" s="1"/>
  <c r="G22" i="19"/>
  <c r="I16" i="19" s="1"/>
  <c r="I21" i="19" s="1"/>
  <c r="G12" i="14"/>
  <c r="I31" i="14"/>
  <c r="I41" i="14" s="1"/>
  <c r="E12" i="14"/>
  <c r="E31" i="14"/>
  <c r="E41" i="14" s="1"/>
  <c r="G10" i="9"/>
  <c r="F10" i="9"/>
  <c r="M10" i="9"/>
  <c r="E10" i="9"/>
  <c r="E16" i="8"/>
  <c r="E17" i="8" s="1"/>
  <c r="L10" i="9"/>
  <c r="D10" i="9"/>
  <c r="K10" i="9"/>
  <c r="C10" i="9"/>
  <c r="I10" i="9"/>
  <c r="H10" i="9"/>
  <c r="B10" i="9"/>
  <c r="J10" i="9"/>
  <c r="N12" i="11"/>
  <c r="F12" i="14"/>
  <c r="F6" i="9"/>
  <c r="M6" i="9"/>
  <c r="E6" i="9"/>
  <c r="L6" i="9"/>
  <c r="D6" i="9"/>
  <c r="K6" i="9"/>
  <c r="C6" i="9"/>
  <c r="J6" i="9"/>
  <c r="B6" i="9"/>
  <c r="H6" i="9"/>
  <c r="I6" i="9"/>
  <c r="G6" i="9"/>
  <c r="B14" i="8"/>
  <c r="B17" i="8" s="1"/>
  <c r="I12" i="14"/>
  <c r="K22" i="14"/>
  <c r="B41" i="14" l="1"/>
  <c r="N41" i="14" s="1"/>
  <c r="N31" i="14"/>
  <c r="N12" i="14"/>
  <c r="M43" i="14"/>
  <c r="K43" i="14"/>
  <c r="T9" i="19"/>
  <c r="U10" i="19" s="1"/>
  <c r="G23" i="19"/>
  <c r="J43" i="14"/>
  <c r="R9" i="19"/>
  <c r="S10" i="19" s="1"/>
  <c r="X9" i="19"/>
  <c r="Y10" i="19" s="1"/>
  <c r="F8" i="17"/>
  <c r="F13" i="9"/>
  <c r="M14" i="17"/>
  <c r="M15" i="9"/>
  <c r="K20" i="17"/>
  <c r="K22" i="17" s="1"/>
  <c r="K17" i="9"/>
  <c r="E14" i="17"/>
  <c r="E15" i="9"/>
  <c r="J20" i="17"/>
  <c r="J22" i="17" s="1"/>
  <c r="J17" i="9"/>
  <c r="L15" i="9"/>
  <c r="L14" i="17"/>
  <c r="I12" i="19"/>
  <c r="K6" i="19" s="1"/>
  <c r="F26" i="17"/>
  <c r="F29" i="17" s="1"/>
  <c r="D14" i="17"/>
  <c r="J8" i="17"/>
  <c r="J13" i="9"/>
  <c r="D9" i="19"/>
  <c r="E10" i="19" s="1"/>
  <c r="E11" i="19" s="1"/>
  <c r="E13" i="19" s="1"/>
  <c r="E25" i="19" s="1"/>
  <c r="C6" i="21" s="1"/>
  <c r="C7" i="21" s="1"/>
  <c r="C15" i="21" s="1"/>
  <c r="C22" i="14"/>
  <c r="C43" i="14" s="1"/>
  <c r="K8" i="17"/>
  <c r="K13" i="9"/>
  <c r="D8" i="17"/>
  <c r="D13" i="9"/>
  <c r="E20" i="17"/>
  <c r="E22" i="17" s="1"/>
  <c r="E17" i="9"/>
  <c r="G22" i="14"/>
  <c r="G43" i="14" s="1"/>
  <c r="L9" i="19"/>
  <c r="M10" i="19" s="1"/>
  <c r="B14" i="17"/>
  <c r="N8" i="9"/>
  <c r="F14" i="17"/>
  <c r="F15" i="9"/>
  <c r="I14" i="17"/>
  <c r="I15" i="9"/>
  <c r="N9" i="19"/>
  <c r="O10" i="19" s="1"/>
  <c r="H22" i="14"/>
  <c r="H43" i="14" s="1"/>
  <c r="H9" i="19"/>
  <c r="I10" i="19" s="1"/>
  <c r="I11" i="19" s="1"/>
  <c r="E22" i="14"/>
  <c r="E43" i="14" s="1"/>
  <c r="H14" i="17"/>
  <c r="H15" i="9"/>
  <c r="L20" i="17"/>
  <c r="L22" i="17" s="1"/>
  <c r="L17" i="9"/>
  <c r="F17" i="8"/>
  <c r="B17" i="9"/>
  <c r="N10" i="9"/>
  <c r="B20" i="17"/>
  <c r="G8" i="17"/>
  <c r="G13" i="9"/>
  <c r="L8" i="17"/>
  <c r="L13" i="9"/>
  <c r="L18" i="9" s="1"/>
  <c r="H20" i="17"/>
  <c r="H22" i="17" s="1"/>
  <c r="H17" i="9"/>
  <c r="M20" i="17"/>
  <c r="M22" i="17" s="1"/>
  <c r="M17" i="9"/>
  <c r="C14" i="17"/>
  <c r="B9" i="19"/>
  <c r="C10" i="19" s="1"/>
  <c r="C11" i="19" s="1"/>
  <c r="C13" i="19" s="1"/>
  <c r="B22" i="14"/>
  <c r="B8" i="17"/>
  <c r="B13" i="9"/>
  <c r="N6" i="9"/>
  <c r="D22" i="14"/>
  <c r="D43" i="14" s="1"/>
  <c r="F9" i="19"/>
  <c r="G10" i="19" s="1"/>
  <c r="G11" i="19" s="1"/>
  <c r="G13" i="19" s="1"/>
  <c r="G25" i="19" s="1"/>
  <c r="D6" i="21" s="1"/>
  <c r="D7" i="21" s="1"/>
  <c r="D15" i="21" s="1"/>
  <c r="J9" i="19"/>
  <c r="K10" i="19" s="1"/>
  <c r="F22" i="14"/>
  <c r="F43" i="14" s="1"/>
  <c r="C8" i="17"/>
  <c r="C13" i="9"/>
  <c r="V9" i="19"/>
  <c r="W10" i="19" s="1"/>
  <c r="L22" i="14"/>
  <c r="L43" i="14" s="1"/>
  <c r="P9" i="19"/>
  <c r="Q10" i="19" s="1"/>
  <c r="I22" i="14"/>
  <c r="I43" i="14" s="1"/>
  <c r="I8" i="17"/>
  <c r="I13" i="9"/>
  <c r="E8" i="17"/>
  <c r="E13" i="9"/>
  <c r="I20" i="17"/>
  <c r="I22" i="17" s="1"/>
  <c r="I17" i="9"/>
  <c r="F20" i="17"/>
  <c r="F22" i="17" s="1"/>
  <c r="F17" i="9"/>
  <c r="J14" i="17"/>
  <c r="J15" i="9"/>
  <c r="K14" i="17"/>
  <c r="K15" i="9"/>
  <c r="G14" i="17"/>
  <c r="G15" i="9"/>
  <c r="D20" i="17"/>
  <c r="D22" i="17" s="1"/>
  <c r="D17" i="9"/>
  <c r="H8" i="17"/>
  <c r="H13" i="9"/>
  <c r="M8" i="17"/>
  <c r="M13" i="9"/>
  <c r="C20" i="17"/>
  <c r="C22" i="17" s="1"/>
  <c r="C17" i="9"/>
  <c r="G20" i="17"/>
  <c r="G22" i="17" s="1"/>
  <c r="G17" i="9"/>
  <c r="I22" i="19"/>
  <c r="K16" i="19" s="1"/>
  <c r="K21" i="19" s="1"/>
  <c r="F32" i="17"/>
  <c r="F35" i="17" s="1"/>
  <c r="N16" i="9"/>
  <c r="N9" i="9"/>
  <c r="B43" i="14" l="1"/>
  <c r="N43" i="14" s="1"/>
  <c r="N22" i="14"/>
  <c r="I13" i="19"/>
  <c r="K18" i="9"/>
  <c r="K11" i="19"/>
  <c r="E18" i="9"/>
  <c r="C18" i="9"/>
  <c r="B10" i="17"/>
  <c r="C7" i="17" s="1"/>
  <c r="C10" i="17" s="1"/>
  <c r="D7" i="17" s="1"/>
  <c r="D10" i="17" s="1"/>
  <c r="E7" i="17" s="1"/>
  <c r="E10" i="17" s="1"/>
  <c r="F7" i="17" s="1"/>
  <c r="F10" i="17" s="1"/>
  <c r="G7" i="17" s="1"/>
  <c r="G10" i="17" s="1"/>
  <c r="H7" i="17" s="1"/>
  <c r="H10" i="17" s="1"/>
  <c r="I7" i="17" s="1"/>
  <c r="I10" i="17" s="1"/>
  <c r="J7" i="17" s="1"/>
  <c r="J10" i="17" s="1"/>
  <c r="K7" i="17" s="1"/>
  <c r="K10" i="17" s="1"/>
  <c r="L7" i="17" s="1"/>
  <c r="L10" i="17" s="1"/>
  <c r="M7" i="17" s="1"/>
  <c r="M10" i="17" s="1"/>
  <c r="K12" i="19"/>
  <c r="M6" i="19" s="1"/>
  <c r="M11" i="19" s="1"/>
  <c r="G26" i="17"/>
  <c r="G29" i="17" s="1"/>
  <c r="H18" i="9"/>
  <c r="B18" i="9"/>
  <c r="N13" i="9"/>
  <c r="B16" i="17"/>
  <c r="C13" i="17" s="1"/>
  <c r="C16" i="17" s="1"/>
  <c r="D13" i="17" s="1"/>
  <c r="D16" i="17" s="1"/>
  <c r="E13" i="17" s="1"/>
  <c r="E16" i="17" s="1"/>
  <c r="F13" i="17" s="1"/>
  <c r="F16" i="17" s="1"/>
  <c r="G13" i="17" s="1"/>
  <c r="G16" i="17" s="1"/>
  <c r="H13" i="17" s="1"/>
  <c r="H16" i="17" s="1"/>
  <c r="I13" i="17" s="1"/>
  <c r="I16" i="17" s="1"/>
  <c r="J13" i="17" s="1"/>
  <c r="J16" i="17" s="1"/>
  <c r="K13" i="17" s="1"/>
  <c r="K16" i="17" s="1"/>
  <c r="L13" i="17" s="1"/>
  <c r="L16" i="17" s="1"/>
  <c r="M13" i="17" s="1"/>
  <c r="M16" i="17" s="1"/>
  <c r="K22" i="19"/>
  <c r="M16" i="19" s="1"/>
  <c r="M21" i="19" s="1"/>
  <c r="G32" i="17"/>
  <c r="G35" i="17" s="1"/>
  <c r="I18" i="9"/>
  <c r="C25" i="19"/>
  <c r="B6" i="21" s="1"/>
  <c r="J18" i="9"/>
  <c r="B22" i="17"/>
  <c r="M18" i="9"/>
  <c r="I23" i="19"/>
  <c r="G18" i="9"/>
  <c r="N15" i="9"/>
  <c r="N17" i="9"/>
  <c r="D18" i="9"/>
  <c r="K13" i="19" l="1"/>
  <c r="N18" i="9"/>
  <c r="K23" i="19"/>
  <c r="H26" i="17"/>
  <c r="H29" i="17" s="1"/>
  <c r="M12" i="19"/>
  <c r="O6" i="19" s="1"/>
  <c r="O11" i="19" s="1"/>
  <c r="B7" i="21"/>
  <c r="M22" i="19"/>
  <c r="O16" i="19" s="1"/>
  <c r="O21" i="19" s="1"/>
  <c r="H32" i="17"/>
  <c r="H35" i="17" s="1"/>
  <c r="I25" i="19"/>
  <c r="E6" i="21" s="1"/>
  <c r="E7" i="21" s="1"/>
  <c r="E15" i="21" s="1"/>
  <c r="K25" i="19" l="1"/>
  <c r="F6" i="21" s="1"/>
  <c r="F7" i="21" s="1"/>
  <c r="F15" i="21" s="1"/>
  <c r="M23" i="19"/>
  <c r="O12" i="19"/>
  <c r="Q6" i="19" s="1"/>
  <c r="Q11" i="19" s="1"/>
  <c r="I26" i="17"/>
  <c r="I29" i="17" s="1"/>
  <c r="B15" i="21"/>
  <c r="I32" i="17"/>
  <c r="I35" i="17" s="1"/>
  <c r="O22" i="19"/>
  <c r="Q16" i="19" s="1"/>
  <c r="Q21" i="19" s="1"/>
  <c r="M13" i="19"/>
  <c r="O13" i="19" l="1"/>
  <c r="Q22" i="19"/>
  <c r="S16" i="19" s="1"/>
  <c r="S21" i="19" s="1"/>
  <c r="J32" i="17"/>
  <c r="J35" i="17" s="1"/>
  <c r="O23" i="19"/>
  <c r="J26" i="17"/>
  <c r="J29" i="17" s="1"/>
  <c r="Q12" i="19"/>
  <c r="S6" i="19" s="1"/>
  <c r="S11" i="19" s="1"/>
  <c r="M25" i="19"/>
  <c r="G6" i="21" s="1"/>
  <c r="O25" i="19" l="1"/>
  <c r="H6" i="21" s="1"/>
  <c r="H7" i="21" s="1"/>
  <c r="H15" i="21" s="1"/>
  <c r="Q23" i="19"/>
  <c r="G7" i="21"/>
  <c r="S12" i="19"/>
  <c r="U6" i="19" s="1"/>
  <c r="U11" i="19" s="1"/>
  <c r="K26" i="17"/>
  <c r="K29" i="17" s="1"/>
  <c r="Q13" i="19"/>
  <c r="K32" i="17"/>
  <c r="K35" i="17" s="1"/>
  <c r="S22" i="19"/>
  <c r="U16" i="19" s="1"/>
  <c r="U21" i="19" s="1"/>
  <c r="Q25" i="19" l="1"/>
  <c r="I6" i="21" s="1"/>
  <c r="L32" i="17"/>
  <c r="L35" i="17" s="1"/>
  <c r="U22" i="19"/>
  <c r="W16" i="19" s="1"/>
  <c r="W21" i="19" s="1"/>
  <c r="S13" i="19"/>
  <c r="L26" i="17"/>
  <c r="L29" i="17" s="1"/>
  <c r="U12" i="19"/>
  <c r="W6" i="19" s="1"/>
  <c r="W11" i="19" s="1"/>
  <c r="S23" i="19"/>
  <c r="G15" i="21"/>
  <c r="U23" i="19" l="1"/>
  <c r="S25" i="19"/>
  <c r="J6" i="21" s="1"/>
  <c r="J7" i="21" s="1"/>
  <c r="J15" i="21" s="1"/>
  <c r="M32" i="17"/>
  <c r="M35" i="17" s="1"/>
  <c r="Y22" i="19" s="1"/>
  <c r="W22" i="19"/>
  <c r="Y16" i="19" s="1"/>
  <c r="Y21" i="19" s="1"/>
  <c r="W12" i="19"/>
  <c r="Y6" i="19" s="1"/>
  <c r="Y11" i="19" s="1"/>
  <c r="M26" i="17"/>
  <c r="M29" i="17" s="1"/>
  <c r="Y12" i="19" s="1"/>
  <c r="U13" i="19"/>
  <c r="I7" i="21"/>
  <c r="U25" i="19" l="1"/>
  <c r="K6" i="21" s="1"/>
  <c r="K7" i="21" s="1"/>
  <c r="K15" i="21" s="1"/>
  <c r="Y13" i="19"/>
  <c r="Y23" i="19"/>
  <c r="W23" i="19"/>
  <c r="Z23" i="19" s="1"/>
  <c r="I15" i="21"/>
  <c r="W13" i="19"/>
  <c r="W25" i="19" s="1"/>
  <c r="L6" i="21" s="1"/>
  <c r="L7" i="21" s="1"/>
  <c r="L15" i="21" s="1"/>
  <c r="Y25" i="19" l="1"/>
  <c r="M6" i="21" s="1"/>
  <c r="M7" i="21" s="1"/>
  <c r="M15" i="21" s="1"/>
  <c r="N15" i="21" s="1"/>
  <c r="Z13" i="19"/>
  <c r="Z25" i="19" s="1"/>
  <c r="N6" i="21" l="1"/>
  <c r="N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Kya Ikon Sanchez</author>
  </authors>
  <commentList>
    <comment ref="C22" authorId="0" shapeId="0" xr:uid="{63759764-8165-432F-B8CF-C04B27A245D7}">
      <text>
        <r>
          <rPr>
            <b/>
            <sz val="9"/>
            <color indexed="81"/>
            <rFont val="Tahoma"/>
            <charset val="1"/>
          </rPr>
          <t>Kya Ikon Sanchez:</t>
        </r>
        <r>
          <rPr>
            <sz val="9"/>
            <color indexed="81"/>
            <rFont val="Tahoma"/>
            <charset val="1"/>
          </rPr>
          <t xml:space="preserve">
Enough to be used for the start of next year</t>
        </r>
      </text>
    </comment>
    <comment ref="D22" authorId="0" shapeId="0" xr:uid="{DC1BD0A4-6513-4D40-A993-3698DBAE2ECF}">
      <text>
        <r>
          <rPr>
            <b/>
            <sz val="9"/>
            <color indexed="81"/>
            <rFont val="Tahoma"/>
            <charset val="1"/>
          </rPr>
          <t>Kya Ikon Sanchez:</t>
        </r>
        <r>
          <rPr>
            <sz val="9"/>
            <color indexed="81"/>
            <rFont val="Tahoma"/>
            <charset val="1"/>
          </rPr>
          <t xml:space="preserve">
Enough to produce 100 units</t>
        </r>
      </text>
    </comment>
  </commentList>
</comments>
</file>

<file path=xl/sharedStrings.xml><?xml version="1.0" encoding="utf-8"?>
<sst xmlns="http://schemas.openxmlformats.org/spreadsheetml/2006/main" count="647" uniqueCount="212">
  <si>
    <t>Athelite Manufacturing</t>
  </si>
  <si>
    <t>Budget Information Sheet</t>
  </si>
  <si>
    <t>For the Year Ending December 31, 2021</t>
  </si>
  <si>
    <t>Footballs</t>
  </si>
  <si>
    <t>Basketballs</t>
  </si>
  <si>
    <t>Sales Cycle</t>
  </si>
  <si>
    <t>Production Cycle</t>
  </si>
  <si>
    <t>Budgeted Sales Price 2021</t>
  </si>
  <si>
    <t>Jan</t>
  </si>
  <si>
    <t>Budgeted Annual Sales (units)</t>
  </si>
  <si>
    <t>Feb</t>
  </si>
  <si>
    <t>Mar</t>
  </si>
  <si>
    <t>Budgeted Production (units)</t>
  </si>
  <si>
    <t>Apr</t>
  </si>
  <si>
    <t>May</t>
  </si>
  <si>
    <t>Product inputs for output</t>
  </si>
  <si>
    <t>June</t>
  </si>
  <si>
    <t>Direct Materials</t>
  </si>
  <si>
    <t>Input</t>
  </si>
  <si>
    <t>Rate</t>
  </si>
  <si>
    <t>Cost per unit</t>
  </si>
  <si>
    <t>July</t>
  </si>
  <si>
    <t>Cowhide</t>
  </si>
  <si>
    <t>Aug</t>
  </si>
  <si>
    <t>Rubber</t>
  </si>
  <si>
    <t>Sept</t>
  </si>
  <si>
    <t>Leather</t>
  </si>
  <si>
    <t>Oct</t>
  </si>
  <si>
    <t xml:space="preserve">Direct Labor </t>
  </si>
  <si>
    <t>Nov</t>
  </si>
  <si>
    <t>Covering</t>
  </si>
  <si>
    <t>Dec</t>
  </si>
  <si>
    <t>Inflation</t>
  </si>
  <si>
    <t>Total</t>
  </si>
  <si>
    <t>Gluing</t>
  </si>
  <si>
    <t>Inventory (units)</t>
  </si>
  <si>
    <t>End Inv</t>
  </si>
  <si>
    <t>Minimum</t>
  </si>
  <si>
    <t>Work-in-Process</t>
  </si>
  <si>
    <t>Finished Goods</t>
  </si>
  <si>
    <t>Fixed Manufacturing Overhead:</t>
  </si>
  <si>
    <t>Allocation, per DMLH</t>
  </si>
  <si>
    <t>Depreciation</t>
  </si>
  <si>
    <t>Supervisor Salaries</t>
  </si>
  <si>
    <t>Property Tax</t>
  </si>
  <si>
    <t>Insurance</t>
  </si>
  <si>
    <t>Miscellaneous</t>
  </si>
  <si>
    <t>Total Fixed Mfg Overhead</t>
  </si>
  <si>
    <t>Variable Manufacturing Overhead:</t>
  </si>
  <si>
    <t xml:space="preserve">Indirect Materials </t>
  </si>
  <si>
    <t>Indirect Labor</t>
  </si>
  <si>
    <t xml:space="preserve">Machine Maintenance </t>
  </si>
  <si>
    <t>Energy</t>
  </si>
  <si>
    <t>Total Variable Mfg Overhead</t>
  </si>
  <si>
    <t>Non-Manufacturing Costs</t>
  </si>
  <si>
    <t>Variable</t>
  </si>
  <si>
    <t>Fixed</t>
  </si>
  <si>
    <t>R&amp;D, Product Design</t>
  </si>
  <si>
    <t>Marketing</t>
  </si>
  <si>
    <t>Distribution</t>
  </si>
  <si>
    <t>Customer Service</t>
  </si>
  <si>
    <t>Administrative</t>
  </si>
  <si>
    <t>Totals</t>
  </si>
  <si>
    <t>Materials are purchased on a contract basis (material costs do not fluctuate)</t>
  </si>
  <si>
    <t>Rubber used in both products are purchased from the same supplier (same cost per input for rubber)</t>
  </si>
  <si>
    <t>Cowhide for footballs is from actual cows while for basketballs we have switched to synthetic leather</t>
  </si>
  <si>
    <t>Wage rate is set at minimum wage as negotiated with the union and is set for the fiscal year</t>
  </si>
  <si>
    <t>Company was created start of year and has no beginning inventory</t>
  </si>
  <si>
    <t>Production will spike one week before sales is projected in order to have enough finished goods to meet demand</t>
  </si>
  <si>
    <t>Direct costs consist of direct materials and direct manufacturing labor</t>
  </si>
  <si>
    <t>Indirect costs are allocated with one pool and allocated based on the number of direct manufacturing labor hours</t>
  </si>
  <si>
    <t>40-hour workweek for full time employees</t>
  </si>
  <si>
    <t>Fiscal period is the same as one calendar year starting January 1 and ending December 31</t>
  </si>
  <si>
    <t>Annual Revenue Budget</t>
  </si>
  <si>
    <t>Sales Price</t>
  </si>
  <si>
    <t>Units sold</t>
  </si>
  <si>
    <t>Total Revenue</t>
  </si>
  <si>
    <t>Revenue Budget Breakdown by Month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</si>
  <si>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</si>
  <si>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</si>
  <si>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</si>
  <si>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</si>
  <si>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</si>
  <si>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</si>
  <si>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</si>
  <si>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</si>
  <si>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</si>
  <si>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Percentage</t>
  </si>
  <si>
    <t>Football</t>
  </si>
  <si>
    <t>Basketball</t>
  </si>
  <si>
    <t>Units Sold</t>
  </si>
  <si>
    <t>Revenue</t>
  </si>
  <si>
    <t>Annual Production Budget</t>
  </si>
  <si>
    <t>Budgeted Unit Sales</t>
  </si>
  <si>
    <t>Add: Target Ending Finished Goods Inventory</t>
  </si>
  <si>
    <t>Total units needed</t>
  </si>
  <si>
    <t>Deduct: Beginning Finished Goods Inventory</t>
  </si>
  <si>
    <t>Units to be Produced</t>
  </si>
  <si>
    <t>Production Budget Breakdown by Month</t>
  </si>
  <si>
    <t>Production (units)</t>
  </si>
  <si>
    <t>Annual Direct Materials Usage Budget</t>
  </si>
  <si>
    <t>Physical Units Budget</t>
  </si>
  <si>
    <t>Cost Budget</t>
  </si>
  <si>
    <t>To be used from purchases</t>
  </si>
  <si>
    <t>Direct Materials Usage Budget Breakdown by Month</t>
  </si>
  <si>
    <t xml:space="preserve">  Football</t>
  </si>
  <si>
    <t xml:space="preserve">  Basketball</t>
  </si>
  <si>
    <t>Cost of Direct Materials Used</t>
  </si>
  <si>
    <t>Annual Direct Materials Purchases Budget</t>
  </si>
  <si>
    <t>Physical Units</t>
  </si>
  <si>
    <t>Production Usage</t>
  </si>
  <si>
    <t>Add Target Ending Inventory</t>
  </si>
  <si>
    <t>Total Units Needed</t>
  </si>
  <si>
    <t>Deduct Beginning Inventory</t>
  </si>
  <si>
    <t>Purhcases</t>
  </si>
  <si>
    <t>Direct Materials Purchase Budget Breakdown by Month</t>
  </si>
  <si>
    <t xml:space="preserve">  Footballs</t>
  </si>
  <si>
    <t xml:space="preserve">  Basketballs</t>
  </si>
  <si>
    <t>Unit Costs</t>
  </si>
  <si>
    <t>Annual Direct Manufacturing Labor Budget</t>
  </si>
  <si>
    <t>Hours</t>
  </si>
  <si>
    <t>Total Cost per unit</t>
  </si>
  <si>
    <t>Annual Production</t>
  </si>
  <si>
    <t>Cost of annual labor</t>
  </si>
  <si>
    <t>Direct Labor Hours</t>
  </si>
  <si>
    <t>Total Cost per Unit</t>
  </si>
  <si>
    <t>Cost of annual Labor</t>
  </si>
  <si>
    <t>Direct labor Hours</t>
  </si>
  <si>
    <t>Direct Manufacturing Labor Budget Breakdown by Month</t>
  </si>
  <si>
    <t>Annual hours:</t>
  </si>
  <si>
    <t>Annual Labor Cost:</t>
  </si>
  <si>
    <t>HOURS</t>
  </si>
  <si>
    <t>Total Hours</t>
  </si>
  <si>
    <t>COST</t>
  </si>
  <si>
    <t xml:space="preserve">Covering </t>
  </si>
  <si>
    <t>Total Cost</t>
  </si>
  <si>
    <t>Annual Hours:</t>
  </si>
  <si>
    <t>Annual Manufacturing Overhead Budget</t>
  </si>
  <si>
    <t>At Budgeted Level of 39,000</t>
  </si>
  <si>
    <t>At Budgeted Level of 46,500</t>
  </si>
  <si>
    <t>Direct Manufacturing Labor Hours</t>
  </si>
  <si>
    <t>Variable Manufacturing Overhead Costs</t>
  </si>
  <si>
    <t>Total Variable Manufacturing Overhead</t>
  </si>
  <si>
    <t>Fixed Manufacturing Overhead Costs:</t>
  </si>
  <si>
    <t>Property Taxes</t>
  </si>
  <si>
    <t>Property Insurance</t>
  </si>
  <si>
    <t>Plant Supervision</t>
  </si>
  <si>
    <t>Total Fixed Manufacturing Overhead</t>
  </si>
  <si>
    <t>Total Manufacturing Overhead Costs</t>
  </si>
  <si>
    <t>Manufacturing Overhead Budget Breakdown by Month</t>
  </si>
  <si>
    <t>Variable MOH Costs</t>
  </si>
  <si>
    <t>Total VMOH Football</t>
  </si>
  <si>
    <t>Total VMOH Basketball</t>
  </si>
  <si>
    <t>Total VMOH</t>
  </si>
  <si>
    <t>Fixed MOH Costs</t>
  </si>
  <si>
    <t>Total FMOH Football</t>
  </si>
  <si>
    <t>Total FMOH Basketball</t>
  </si>
  <si>
    <t>Total FMOH</t>
  </si>
  <si>
    <t>Total MOH</t>
  </si>
  <si>
    <t xml:space="preserve">Non-Manufacturing Overhead Budget </t>
  </si>
  <si>
    <t>Annual</t>
  </si>
  <si>
    <t>Non-Manufacturing Overhead</t>
  </si>
  <si>
    <t>Total Costs</t>
  </si>
  <si>
    <t>Per Unit Cost Budget</t>
  </si>
  <si>
    <t>Cost per input</t>
  </si>
  <si>
    <t>Input per unit</t>
  </si>
  <si>
    <t>Cost per output</t>
  </si>
  <si>
    <t>Total DM</t>
  </si>
  <si>
    <t>Direct Manufacturing Labor</t>
  </si>
  <si>
    <t>Covering Labor</t>
  </si>
  <si>
    <t>Inflating Labor</t>
  </si>
  <si>
    <t>Total DML</t>
  </si>
  <si>
    <t>Manufacturing Overhead</t>
  </si>
  <si>
    <t>Total Cost per Football</t>
  </si>
  <si>
    <t>Direct materials</t>
  </si>
  <si>
    <t>Gluing Labor</t>
  </si>
  <si>
    <t>Total Cost per Basketball</t>
  </si>
  <si>
    <t>Annual Ending Inventory Budget</t>
  </si>
  <si>
    <t>Units</t>
  </si>
  <si>
    <t>Cost of Ending Inventory</t>
  </si>
  <si>
    <t>Cost of ending finished goods</t>
  </si>
  <si>
    <t>Ending Inventory Budget Breakdown by Month in Units</t>
  </si>
  <si>
    <t>Beginning</t>
  </si>
  <si>
    <t>Purchases</t>
  </si>
  <si>
    <t>Usages</t>
  </si>
  <si>
    <t>Inventory</t>
  </si>
  <si>
    <t>Invetory</t>
  </si>
  <si>
    <t>Completed</t>
  </si>
  <si>
    <t>Annual Cost of Goods Sold Budget</t>
  </si>
  <si>
    <t>Beginning Finished Goods Inventory</t>
  </si>
  <si>
    <t>Direct Materials Used</t>
  </si>
  <si>
    <t>Direct Manfacturing Labor</t>
  </si>
  <si>
    <t>Cost of Goods Manufactured</t>
  </si>
  <si>
    <t>Cost of Goods Available for Sale</t>
  </si>
  <si>
    <t>Deduct Ending Finished Goods Inventory</t>
  </si>
  <si>
    <t>Cost of Goods Sold</t>
  </si>
  <si>
    <t>Total Cost of Goods Sold</t>
  </si>
  <si>
    <t>Cost of Goods Sold Budget Breakdown by Month</t>
  </si>
  <si>
    <t>Budgeted Income Statement</t>
  </si>
  <si>
    <t>Revenues</t>
  </si>
  <si>
    <t>Cost of Goods sold</t>
  </si>
  <si>
    <t xml:space="preserve">Basketball </t>
  </si>
  <si>
    <t>Gross Margin</t>
  </si>
  <si>
    <t>Nonmanufacturing costs</t>
  </si>
  <si>
    <t>R&amp;D/Product design</t>
  </si>
  <si>
    <t>Marketing Costs</t>
  </si>
  <si>
    <t>Distribution Costs</t>
  </si>
  <si>
    <t>Customer Service Costs</t>
  </si>
  <si>
    <t>Administrative Costs</t>
  </si>
  <si>
    <t>Operating Income</t>
  </si>
  <si>
    <t>Budgeted Income Statement Breakdown by Month</t>
  </si>
  <si>
    <t>Total Operating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</si>
</sst>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8">
    <font>
      <sz val="10"/>
      <color rgb="FF000000"/>
      <name val="Arial"/>
    </font>
    <font>
      <sz val="10"/>
      <color theme="1"/>
      <name val="Arial"/>
    </font>
    <font>
      <b/>
      <u/>
      <sz val="12"/>
      <color theme="1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sz val="10"/>
      <color rgb="FF000000"/>
      <name val="Arial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8"/>
      <color theme="1"/>
      <name val="Britannic Bold"/>
      <family val="2"/>
    </font>
    <font>
      <b/>
      <sz val="10"/>
      <color rgb="FF000000"/>
      <name val="Britannic Bold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1" fillId="0" borderId="0" xfId="0" applyNumberFormat="1" applyFont="1"/>
    <xf numFmtId="0" fontId="3" fillId="0" borderId="0" xfId="0" applyFont="1" applyAlignment="1">
      <alignment horizontal="right"/>
    </xf>
    <xf numFmtId="4" fontId="1" fillId="0" borderId="0" xfId="0" applyNumberFormat="1" applyFont="1"/>
    <xf numFmtId="0" fontId="3" fillId="0" borderId="0" xfId="0" applyFont="1" applyAlignment="1">
      <alignment horizontal="center"/>
    </xf>
    <xf numFmtId="9" fontId="1" fillId="0" borderId="0" xfId="0" applyNumberFormat="1" applyFont="1"/>
    <xf numFmtId="3" fontId="1" fillId="0" borderId="0" xfId="0" applyNumberFormat="1" applyFont="1"/>
    <xf numFmtId="44" fontId="1" fillId="0" borderId="2" xfId="0" applyNumberFormat="1" applyFont="1" applyBorder="1"/>
    <xf numFmtId="10" fontId="1" fillId="0" borderId="0" xfId="0" applyNumberFormat="1" applyFont="1"/>
    <xf numFmtId="164" fontId="1" fillId="0" borderId="0" xfId="0" applyNumberFormat="1" applyFont="1"/>
    <xf numFmtId="4" fontId="1" fillId="0" borderId="3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3" fontId="12" fillId="0" borderId="0" xfId="0" applyNumberFormat="1" applyFont="1"/>
    <xf numFmtId="0" fontId="10" fillId="0" borderId="1" xfId="0" applyFont="1" applyBorder="1" applyAlignment="1">
      <alignment horizontal="right"/>
    </xf>
    <xf numFmtId="4" fontId="12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4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44" fontId="0" fillId="0" borderId="5" xfId="0" applyNumberFormat="1" applyBorder="1"/>
    <xf numFmtId="0" fontId="0" fillId="0" borderId="6" xfId="0" applyBorder="1"/>
    <xf numFmtId="44" fontId="1" fillId="0" borderId="5" xfId="0" applyNumberFormat="1" applyFont="1" applyBorder="1"/>
    <xf numFmtId="0" fontId="16" fillId="0" borderId="0" xfId="0" applyFont="1"/>
    <xf numFmtId="0" fontId="7" fillId="0" borderId="0" xfId="0" applyFont="1"/>
    <xf numFmtId="0" fontId="14" fillId="0" borderId="0" xfId="0" applyFont="1"/>
    <xf numFmtId="44" fontId="1" fillId="0" borderId="7" xfId="0" applyNumberFormat="1" applyFont="1" applyBorder="1"/>
    <xf numFmtId="10" fontId="0" fillId="0" borderId="0" xfId="0" applyNumberFormat="1"/>
    <xf numFmtId="44" fontId="0" fillId="0" borderId="0" xfId="2" applyFont="1" applyAlignment="1"/>
    <xf numFmtId="43" fontId="0" fillId="0" borderId="0" xfId="1" applyFont="1" applyAlignment="1"/>
    <xf numFmtId="43" fontId="0" fillId="0" borderId="6" xfId="1" applyFont="1" applyBorder="1" applyAlignment="1"/>
    <xf numFmtId="44" fontId="1" fillId="0" borderId="6" xfId="0" applyNumberFormat="1" applyFont="1" applyBorder="1"/>
    <xf numFmtId="43" fontId="1" fillId="0" borderId="0" xfId="1" applyFont="1"/>
    <xf numFmtId="43" fontId="1" fillId="0" borderId="2" xfId="1" applyFont="1" applyBorder="1"/>
    <xf numFmtId="43" fontId="1" fillId="0" borderId="2" xfId="1" applyFont="1" applyBorder="1" applyAlignment="1"/>
    <xf numFmtId="43" fontId="1" fillId="0" borderId="7" xfId="1" applyFont="1" applyBorder="1"/>
    <xf numFmtId="43" fontId="1" fillId="0" borderId="6" xfId="1" applyFont="1" applyBorder="1"/>
    <xf numFmtId="43" fontId="1" fillId="0" borderId="0" xfId="1" applyFont="1" applyAlignment="1"/>
    <xf numFmtId="43" fontId="1" fillId="0" borderId="6" xfId="1" applyFont="1" applyBorder="1" applyAlignment="1"/>
    <xf numFmtId="0" fontId="12" fillId="0" borderId="0" xfId="0" applyFont="1" applyAlignment="1">
      <alignment horizontal="left" indent="1"/>
    </xf>
    <xf numFmtId="4" fontId="12" fillId="0" borderId="0" xfId="0" applyNumberFormat="1" applyFont="1" applyAlignment="1">
      <alignment horizontal="left" indent="1"/>
    </xf>
    <xf numFmtId="164" fontId="12" fillId="0" borderId="0" xfId="0" applyNumberFormat="1" applyFont="1"/>
    <xf numFmtId="164" fontId="1" fillId="0" borderId="6" xfId="0" applyNumberFormat="1" applyFont="1" applyBorder="1"/>
    <xf numFmtId="44" fontId="4" fillId="0" borderId="5" xfId="0" applyNumberFormat="1" applyFont="1" applyBorder="1"/>
    <xf numFmtId="43" fontId="1" fillId="0" borderId="0" xfId="1" applyFont="1" applyBorder="1"/>
    <xf numFmtId="44" fontId="1" fillId="0" borderId="0" xfId="2" applyFont="1"/>
    <xf numFmtId="44" fontId="1" fillId="0" borderId="6" xfId="2" applyFont="1" applyBorder="1"/>
    <xf numFmtId="44" fontId="0" fillId="0" borderId="6" xfId="2" applyFont="1" applyBorder="1" applyAlignment="1"/>
    <xf numFmtId="44" fontId="1" fillId="0" borderId="5" xfId="2" applyFont="1" applyBorder="1"/>
    <xf numFmtId="44" fontId="0" fillId="0" borderId="5" xfId="2" applyFont="1" applyBorder="1" applyAlignment="1"/>
    <xf numFmtId="44" fontId="1" fillId="0" borderId="0" xfId="2" applyFont="1" applyAlignment="1"/>
    <xf numFmtId="44" fontId="1" fillId="0" borderId="6" xfId="2" applyFont="1" applyBorder="1" applyAlignment="1"/>
    <xf numFmtId="44" fontId="1" fillId="0" borderId="4" xfId="2" applyFont="1" applyBorder="1"/>
    <xf numFmtId="44" fontId="1" fillId="0" borderId="2" xfId="2" applyFont="1" applyBorder="1"/>
    <xf numFmtId="44" fontId="7" fillId="0" borderId="0" xfId="2" applyFont="1" applyAlignment="1">
      <alignment horizontal="right"/>
    </xf>
    <xf numFmtId="44" fontId="7" fillId="0" borderId="0" xfId="2" applyFont="1" applyAlignment="1"/>
    <xf numFmtId="44" fontId="4" fillId="0" borderId="0" xfId="2" applyFont="1" applyAlignment="1"/>
    <xf numFmtId="44" fontId="7" fillId="0" borderId="6" xfId="2" applyFont="1" applyBorder="1" applyAlignment="1">
      <alignment horizontal="right"/>
    </xf>
    <xf numFmtId="44" fontId="16" fillId="0" borderId="0" xfId="2" applyFont="1" applyAlignment="1"/>
    <xf numFmtId="44" fontId="7" fillId="0" borderId="2" xfId="2" applyFont="1" applyBorder="1" applyAlignment="1">
      <alignment horizontal="right"/>
    </xf>
    <xf numFmtId="44" fontId="7" fillId="0" borderId="4" xfId="2" applyFont="1" applyBorder="1" applyAlignment="1">
      <alignment horizontal="right"/>
    </xf>
    <xf numFmtId="44" fontId="1" fillId="0" borderId="0" xfId="2" applyFont="1" applyBorder="1"/>
    <xf numFmtId="44" fontId="1" fillId="0" borderId="3" xfId="2" applyFont="1" applyBorder="1"/>
    <xf numFmtId="0" fontId="3" fillId="0" borderId="0" xfId="0" applyFont="1" applyAlignment="1">
      <alignment horizontal="left" indent="1"/>
    </xf>
    <xf numFmtId="44" fontId="1" fillId="0" borderId="8" xfId="2" applyFont="1" applyBorder="1"/>
    <xf numFmtId="43" fontId="1" fillId="0" borderId="8" xfId="1" applyFont="1" applyBorder="1"/>
    <xf numFmtId="44" fontId="1" fillId="0" borderId="2" xfId="2" applyFont="1" applyBorder="1" applyAlignment="1"/>
    <xf numFmtId="44" fontId="1" fillId="0" borderId="7" xfId="2" applyFont="1" applyBorder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4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26" Type="http://schemas.openxmlformats.org/officeDocument/2006/relationships/worksheet" Target="worksheets/sheet16.xml"/><Relationship Id="rId21" Type="http://schemas.openxmlformats.org/officeDocument/2006/relationships/chartsheet" Target="chartsheets/sheet10.xml"/><Relationship Id="rId34" Type="http://schemas.openxmlformats.org/officeDocument/2006/relationships/chartsheet" Target="chartsheets/sheet13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chartsheet" Target="chartsheets/sheet8.xml"/><Relationship Id="rId25" Type="http://schemas.openxmlformats.org/officeDocument/2006/relationships/worksheet" Target="worksheets/sheet15.xml"/><Relationship Id="rId33" Type="http://schemas.openxmlformats.org/officeDocument/2006/relationships/worksheet" Target="worksheets/sheet2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7.xml"/><Relationship Id="rId20" Type="http://schemas.openxmlformats.org/officeDocument/2006/relationships/chartsheet" Target="chartsheets/sheet9.xml"/><Relationship Id="rId2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7.xml"/><Relationship Id="rId24" Type="http://schemas.openxmlformats.org/officeDocument/2006/relationships/worksheet" Target="worksheets/sheet14.xml"/><Relationship Id="rId32" Type="http://schemas.openxmlformats.org/officeDocument/2006/relationships/worksheet" Target="worksheets/sheet20.xml"/><Relationship Id="rId37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3.xml"/><Relationship Id="rId28" Type="http://schemas.openxmlformats.org/officeDocument/2006/relationships/worksheet" Target="worksheets/sheet18.xml"/><Relationship Id="rId36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1.xml"/><Relationship Id="rId31" Type="http://schemas.openxmlformats.org/officeDocument/2006/relationships/chartsheet" Target="chartsheets/sheet12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2.xml"/><Relationship Id="rId27" Type="http://schemas.openxmlformats.org/officeDocument/2006/relationships/worksheet" Target="worksheets/sheet17.xml"/><Relationship Id="rId30" Type="http://schemas.openxmlformats.org/officeDocument/2006/relationships/chartsheet" Target="chartsheets/sheet11.xml"/><Relationship Id="rId35" Type="http://schemas.openxmlformats.org/officeDocument/2006/relationships/theme" Target="theme/theme1.xml"/><Relationship Id="rId8" Type="http://schemas.openxmlformats.org/officeDocument/2006/relationships/chartsheet" Target="chartsheets/sheet3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</a:t>
            </a:r>
            <a:r>
              <a:rPr lang="en-US" baseline="0"/>
              <a:t> Football Revenue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48-40BF-9AB4-71297D15AA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48-40BF-9AB4-71297D15AA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48-40BF-9AB4-71297D15AA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48-40BF-9AB4-71297D15AA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48-40BF-9AB4-71297D15AA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748-40BF-9AB4-71297D15AAA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748-40BF-9AB4-71297D15AAA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748-40BF-9AB4-71297D15AAA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748-40BF-9AB4-71297D15AAA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748-40BF-9AB4-71297D15AAA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748-40BF-9AB4-71297D15AAA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748-40BF-9AB4-71297D15AA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MonthlyRevenue!$B$4:$M$4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MonthlyRevenue!$B$6:$M$6</c:f>
              <c:numCache>
                <c:formatCode>0%</c:formatCode>
                <c:ptCount val="12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0.11</c:v>
                </c:pt>
                <c:pt idx="9">
                  <c:v>0.14000000000000001</c:v>
                </c:pt>
                <c:pt idx="10">
                  <c:v>0.15</c:v>
                </c:pt>
                <c:pt idx="11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748-40BF-9AB4-71297D15AA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Budgeted Direct Labor Hours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50-4B32-A275-F2F7B9AAD5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50-4B32-A275-F2F7B9AAD5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50-4B32-A275-F2F7B9AAD5B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50-4B32-A275-F2F7B9AAD5B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750-4B32-A275-F2F7B9AAD5B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750-4B32-A275-F2F7B9AAD5B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750-4B32-A275-F2F7B9AAD5B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750-4B32-A275-F2F7B9AAD5B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750-4B32-A275-F2F7B9AAD5B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750-4B32-A275-F2F7B9AAD5BE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750-4B32-A275-F2F7B9AAD5BE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750-4B32-A275-F2F7B9AAD5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Labor'!$B$6:$M$6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Labor'!$B$9:$M$9</c:f>
              <c:numCache>
                <c:formatCode>_(* #,##0.00_);_(* \(#,##0.00\);_(* "-"??_);_(@_)</c:formatCode>
                <c:ptCount val="12"/>
                <c:pt idx="0">
                  <c:v>786.00000000000011</c:v>
                </c:pt>
                <c:pt idx="1">
                  <c:v>786.00000000000011</c:v>
                </c:pt>
                <c:pt idx="2">
                  <c:v>1179.0000000000002</c:v>
                </c:pt>
                <c:pt idx="3">
                  <c:v>1572.0000000000002</c:v>
                </c:pt>
                <c:pt idx="4">
                  <c:v>2751.0000000000009</c:v>
                </c:pt>
                <c:pt idx="5">
                  <c:v>3144.0000000000005</c:v>
                </c:pt>
                <c:pt idx="6">
                  <c:v>3537.0000000000005</c:v>
                </c:pt>
                <c:pt idx="7">
                  <c:v>3930.0000000000009</c:v>
                </c:pt>
                <c:pt idx="8">
                  <c:v>4323.0000000000009</c:v>
                </c:pt>
                <c:pt idx="9">
                  <c:v>5502.0000000000018</c:v>
                </c:pt>
                <c:pt idx="10">
                  <c:v>5895.0000000000009</c:v>
                </c:pt>
                <c:pt idx="11">
                  <c:v>5895.0000000000009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50-4B32-A275-F2F7B9AAD5BE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5750-4B32-A275-F2F7B9AAD5B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5750-4B32-A275-F2F7B9AAD5B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5750-4B32-A275-F2F7B9AAD5B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5750-4B32-A275-F2F7B9AAD5B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5750-4B32-A275-F2F7B9AAD5B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5750-4B32-A275-F2F7B9AAD5B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5750-4B32-A275-F2F7B9AAD5B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5750-4B32-A275-F2F7B9AAD5B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A-5750-4B32-A275-F2F7B9AAD5BE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C-5750-4B32-A275-F2F7B9AAD5BE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5750-4B32-A275-F2F7B9AAD5BE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0-5750-4B32-A275-F2F7B9AAD5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Labor'!$B$6:$M$6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Labor'!$B$21:$M$21</c:f>
              <c:numCache>
                <c:formatCode>_(* #,##0.00_);_(* \(#,##0.00\);_(* "-"??_);_(@_)</c:formatCode>
                <c:ptCount val="12"/>
                <c:pt idx="0">
                  <c:v>4650</c:v>
                </c:pt>
                <c:pt idx="1">
                  <c:v>4650</c:v>
                </c:pt>
                <c:pt idx="2">
                  <c:v>4650</c:v>
                </c:pt>
                <c:pt idx="3">
                  <c:v>4650</c:v>
                </c:pt>
                <c:pt idx="4">
                  <c:v>2325</c:v>
                </c:pt>
                <c:pt idx="5">
                  <c:v>2325</c:v>
                </c:pt>
                <c:pt idx="6">
                  <c:v>2325</c:v>
                </c:pt>
                <c:pt idx="7">
                  <c:v>2325</c:v>
                </c:pt>
                <c:pt idx="8">
                  <c:v>2325</c:v>
                </c:pt>
                <c:pt idx="9">
                  <c:v>6975</c:v>
                </c:pt>
                <c:pt idx="10">
                  <c:v>4650</c:v>
                </c:pt>
                <c:pt idx="11">
                  <c:v>4650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5750-4B32-A275-F2F7B9AAD5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Football COGS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MonthlyCOGS!$B$13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51-4BEB-B028-F661D42D4E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74D-4AC4-997A-BF9B0274E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551-4BEB-B028-F661D42D4E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74D-4AC4-997A-BF9B0274ED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551-4BEB-B028-F661D42D4E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74D-4AC4-997A-BF9B0274ED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/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551-4BEB-B028-F661D42D4EC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74D-4AC4-997A-BF9B0274ED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551-4BEB-B028-F661D42D4EC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74D-4AC4-997A-BF9B0274ED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551-4BEB-B028-F661D42D4EC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74D-4AC4-997A-BF9B0274ED5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551-4BEB-B028-F661D42D4EC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74D-4AC4-997A-BF9B0274ED53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5551-4BEB-B028-F661D42D4EC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74D-4AC4-997A-BF9B0274ED53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5551-4BEB-B028-F661D42D4ECA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74D-4AC4-997A-BF9B0274ED53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551-4BEB-B028-F661D42D4ECA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74D-4AC4-997A-BF9B0274ED53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5551-4BEB-B028-F661D42D4ECA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74D-4AC4-997A-BF9B0274ED53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5551-4BEB-B028-F661D42D4EC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551-4BEB-B028-F661D42D4EC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AC1-479B-BC54-A8CEC487FDC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F74D-4AC4-997A-BF9B0274E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AC1-479B-BC54-A8CEC487FDC4}"/>
                </c:ext>
              </c:extLst>
            </c:dLbl>
            <c:dLbl>
              <c:idx val="4"/>
              <c:layout>
                <c:manualLayout>
                  <c:x val="1.173152858699858E-2"/>
                  <c:y val="-1.6161616161616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51-4BEB-B028-F661D42D4EC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AC1-479B-BC54-A8CEC487FDC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B-F74D-4AC4-997A-BF9B0274ED5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0AC1-479B-BC54-A8CEC487FDC4}"/>
                </c:ext>
              </c:extLst>
            </c:dLbl>
            <c:dLbl>
              <c:idx val="8"/>
              <c:layout>
                <c:manualLayout>
                  <c:x val="2.7862380394121627E-2"/>
                  <c:y val="-1.4141414141414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51-4BEB-B028-F661D42D4EC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AC1-479B-BC54-A8CEC487FDC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D-F74D-4AC4-997A-BF9B0274ED5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0AC1-479B-BC54-A8CEC487FDC4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5551-4BEB-B028-F661D42D4ECA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F74D-4AC4-997A-BF9B0274ED53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5551-4BEB-B028-F661D42D4ECA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F74D-4AC4-997A-BF9B0274ED53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5551-4BEB-B028-F661D42D4ECA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F74D-4AC4-997A-BF9B0274ED53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9-5551-4BEB-B028-F661D42D4ECA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D-5551-4BEB-B028-F661D42D4ECA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5551-4BEB-B028-F661D42D4ECA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5551-4BEB-B028-F661D42D4ECA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5551-4BEB-B028-F661D42D4ECA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7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D-5551-4BEB-B028-F661D42D4E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MonthlyCOGS!$C$4:$Y$4</c15:sqref>
                  </c15:fullRef>
                </c:ext>
              </c:extLst>
              <c:f>(MonthlyCOGS!$C$4,MonthlyCOGS!$E$4,MonthlyCOGS!$G$4,MonthlyCOGS!$I$4,MonthlyCOGS!$K$4,MonthlyCOGS!$M$4,MonthlyCOGS!$O$4,MonthlyCOGS!$Q$4,MonthlyCOGS!$S$4,MonthlyCOGS!$U$4,MonthlyCOGS!$W$4,MonthlyCOGS!$Y$4)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MonthlyCOGS!$C$13:$Y$13</c15:sqref>
                  </c15:fullRef>
                </c:ext>
              </c:extLst>
              <c:f>(MonthlyCOGS!$C$13,MonthlyCOGS!$E$13,MonthlyCOGS!$G$13,MonthlyCOGS!$I$13,MonthlyCOGS!$K$13,MonthlyCOGS!$M$13,MonthlyCOGS!$O$13,MonthlyCOGS!$Q$13,MonthlyCOGS!$S$13,MonthlyCOGS!$U$13,MonthlyCOGS!$W$13,MonthlyCOGS!$Y$13)</c:f>
              <c:numCache>
                <c:formatCode>_("$"* #,##0.00_);_("$"* \(#,##0.00\);_("$"* "-"??_);_(@_)</c:formatCode>
                <c:ptCount val="12"/>
                <c:pt idx="0">
                  <c:v>38247.5</c:v>
                </c:pt>
                <c:pt idx="1">
                  <c:v>38247.499999999993</c:v>
                </c:pt>
                <c:pt idx="2">
                  <c:v>57371.25</c:v>
                </c:pt>
                <c:pt idx="3">
                  <c:v>76494.999999999985</c:v>
                </c:pt>
                <c:pt idx="4">
                  <c:v>133866.25000000003</c:v>
                </c:pt>
                <c:pt idx="5">
                  <c:v>152989.99999999997</c:v>
                </c:pt>
                <c:pt idx="6">
                  <c:v>172113.75</c:v>
                </c:pt>
                <c:pt idx="7">
                  <c:v>191237.5</c:v>
                </c:pt>
                <c:pt idx="8">
                  <c:v>210361.25</c:v>
                </c:pt>
                <c:pt idx="9">
                  <c:v>267732.5</c:v>
                </c:pt>
                <c:pt idx="10">
                  <c:v>286856.25</c:v>
                </c:pt>
                <c:pt idx="11">
                  <c:v>286856.25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2E-5551-4BEB-B028-F661D42D4E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Basketball COGS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MonthlyCOGS!$B$23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391-4EE9-A629-24CB2F152F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391-4EE9-A629-24CB2F152F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391-4EE9-A629-24CB2F152F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391-4EE9-A629-24CB2F152F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391-4EE9-A629-24CB2F152F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391-4EE9-A629-24CB2F152F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391-4EE9-A629-24CB2F152F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391-4EE9-A629-24CB2F152F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391-4EE9-A629-24CB2F152F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391-4EE9-A629-24CB2F152FC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391-4EE9-A629-24CB2F152FC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391-4EE9-A629-24CB2F152FC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5391-4EE9-A629-24CB2F152FC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5391-4EE9-A629-24CB2F152FC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5391-4EE9-A629-24CB2F152FC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5391-4EE9-A629-24CB2F152FC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5391-4EE9-A629-24CB2F152FC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5391-4EE9-A629-24CB2F152FC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391-4EE9-A629-24CB2F152FC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5391-4EE9-A629-24CB2F152FC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5391-4EE9-A629-24CB2F152FC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5391-4EE9-A629-24CB2F152FC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5391-4EE9-A629-24CB2F152F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MonthlyCOGS!$C$4:$Y$4</c:f>
              <c:strCache>
                <c:ptCount val="23"/>
                <c:pt idx="0">
                  <c:v>January</c:v>
                </c:pt>
                <c:pt idx="2">
                  <c:v>February</c:v>
                </c:pt>
                <c:pt idx="4">
                  <c:v>March</c:v>
                </c:pt>
                <c:pt idx="6">
                  <c:v>April</c:v>
                </c:pt>
                <c:pt idx="8">
                  <c:v>May</c:v>
                </c:pt>
                <c:pt idx="10">
                  <c:v>June</c:v>
                </c:pt>
                <c:pt idx="12">
                  <c:v>July</c:v>
                </c:pt>
                <c:pt idx="14">
                  <c:v>August</c:v>
                </c:pt>
                <c:pt idx="16">
                  <c:v>September</c:v>
                </c:pt>
                <c:pt idx="18">
                  <c:v>October</c:v>
                </c:pt>
                <c:pt idx="20">
                  <c:v>November</c:v>
                </c:pt>
                <c:pt idx="22">
                  <c:v>December</c:v>
                </c:pt>
              </c:strCache>
            </c:strRef>
          </c:cat>
          <c:val>
            <c:numRef>
              <c:f>MonthlyCOGS!$C$23:$Y$23</c:f>
              <c:numCache>
                <c:formatCode>_("$"* #,##0.00_);_("$"* \(#,##0.00\);_("$"* "-"??_);_(@_)</c:formatCode>
                <c:ptCount val="23"/>
                <c:pt idx="0">
                  <c:v>174244.5</c:v>
                </c:pt>
                <c:pt idx="2">
                  <c:v>174244.5</c:v>
                </c:pt>
                <c:pt idx="4">
                  <c:v>174244.5</c:v>
                </c:pt>
                <c:pt idx="6">
                  <c:v>174244.5</c:v>
                </c:pt>
                <c:pt idx="8">
                  <c:v>87122.25</c:v>
                </c:pt>
                <c:pt idx="10">
                  <c:v>87122.25</c:v>
                </c:pt>
                <c:pt idx="12">
                  <c:v>87122.25</c:v>
                </c:pt>
                <c:pt idx="14">
                  <c:v>87122.25</c:v>
                </c:pt>
                <c:pt idx="16">
                  <c:v>87122.25</c:v>
                </c:pt>
                <c:pt idx="18">
                  <c:v>261366.75</c:v>
                </c:pt>
                <c:pt idx="20">
                  <c:v>174244.5</c:v>
                </c:pt>
                <c:pt idx="22">
                  <c:v>174244.5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5391-4EE9-A629-24CB2F152FC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Monthly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IncomeMonthly!$B$4:$M$4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IncomeMonthly!$B$15:$M$15</c:f>
              <c:numCache>
                <c:formatCode>_("$"* #,##0.00_);_("$"* \(#,##0.00\);_("$"* "-"??_);_(@_)</c:formatCode>
                <c:ptCount val="12"/>
                <c:pt idx="0">
                  <c:v>108341.33333333334</c:v>
                </c:pt>
                <c:pt idx="1">
                  <c:v>108341.33333333334</c:v>
                </c:pt>
                <c:pt idx="2">
                  <c:v>126717.58333333334</c:v>
                </c:pt>
                <c:pt idx="3">
                  <c:v>145093.83333333334</c:v>
                </c:pt>
                <c:pt idx="4">
                  <c:v>137344.83333333331</c:v>
                </c:pt>
                <c:pt idx="5">
                  <c:v>155721.08333333337</c:v>
                </c:pt>
                <c:pt idx="6">
                  <c:v>174097.33333333334</c:v>
                </c:pt>
                <c:pt idx="7">
                  <c:v>192473.58333333334</c:v>
                </c:pt>
                <c:pt idx="8">
                  <c:v>210849.83333333334</c:v>
                </c:pt>
                <c:pt idx="9">
                  <c:v>391734.08333333331</c:v>
                </c:pt>
                <c:pt idx="10">
                  <c:v>347232.58333333331</c:v>
                </c:pt>
                <c:pt idx="11">
                  <c:v>347232.58333333331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2-4BF4-A3EB-430348C519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25905920"/>
        <c:axId val="784586192"/>
        <c:axId val="0"/>
      </c:bar3DChart>
      <c:catAx>
        <c:axId val="12259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86192"/>
        <c:crosses val="autoZero"/>
        <c:auto val="1"/>
        <c:lblAlgn val="ctr"/>
        <c:lblOffset val="100"/>
        <c:noMultiLvlLbl val="0"/>
      </c:catAx>
      <c:valAx>
        <c:axId val="784586192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2259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Basketball Revenue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D-4D97-8685-11249E9ADA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D-4D97-8685-11249E9ADA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D-4D97-8685-11249E9ADA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D-4D97-8685-11249E9ADA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D-4D97-8685-11249E9ADA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D-4D97-8685-11249E9ADA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D-4D97-8685-11249E9ADA7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D-4D97-8685-11249E9ADA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D-4D97-8685-11249E9ADA7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D-4D97-8685-11249E9ADA7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D-4D97-8685-11249E9ADA7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D-4D97-8685-11249E9ADA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MonthlyRevenue!$B$4:$M$4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MonthlyRevenue!$B$7:$M$7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0.15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16D-4D97-8685-11249E9ADA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Budgeted Football Production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MonthlyProduction!$B$4:$M$4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MonthlyProduction!$B$8:$M$8</c:f>
              <c:numCache>
                <c:formatCode>_(* #,##0.00_);_(* \(#,##0.00\);_(* "-"??_);_(@_)</c:formatCode>
                <c:ptCount val="12"/>
                <c:pt idx="0">
                  <c:v>2620</c:v>
                </c:pt>
                <c:pt idx="1">
                  <c:v>2620</c:v>
                </c:pt>
                <c:pt idx="2">
                  <c:v>3930</c:v>
                </c:pt>
                <c:pt idx="3">
                  <c:v>5240</c:v>
                </c:pt>
                <c:pt idx="4">
                  <c:v>9170</c:v>
                </c:pt>
                <c:pt idx="5">
                  <c:v>10480</c:v>
                </c:pt>
                <c:pt idx="6">
                  <c:v>11790</c:v>
                </c:pt>
                <c:pt idx="7">
                  <c:v>13100</c:v>
                </c:pt>
                <c:pt idx="8">
                  <c:v>14410</c:v>
                </c:pt>
                <c:pt idx="9">
                  <c:v>18340</c:v>
                </c:pt>
                <c:pt idx="10">
                  <c:v>19650</c:v>
                </c:pt>
                <c:pt idx="11">
                  <c:v>19650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7-4197-8557-87A26D06C6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928917024"/>
        <c:axId val="521696368"/>
      </c:barChart>
      <c:catAx>
        <c:axId val="92891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696368"/>
        <c:crosses val="autoZero"/>
        <c:auto val="1"/>
        <c:lblAlgn val="ctr"/>
        <c:lblOffset val="100"/>
        <c:noMultiLvlLbl val="0"/>
      </c:catAx>
      <c:valAx>
        <c:axId val="5216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Production (units)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89170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Budgeted Basketball Production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MonthlyProduction!$B$4:$M$4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MonthlyProduction!$B$13:$M$13</c:f>
              <c:numCache>
                <c:formatCode>_(* #,##0.00_);_(* \(#,##0.00\);_(* "-"??_);_(@_)</c:formatCode>
                <c:ptCount val="12"/>
                <c:pt idx="0">
                  <c:v>15500</c:v>
                </c:pt>
                <c:pt idx="1">
                  <c:v>15500</c:v>
                </c:pt>
                <c:pt idx="2">
                  <c:v>15500</c:v>
                </c:pt>
                <c:pt idx="3">
                  <c:v>15500</c:v>
                </c:pt>
                <c:pt idx="4">
                  <c:v>7750</c:v>
                </c:pt>
                <c:pt idx="5">
                  <c:v>7750</c:v>
                </c:pt>
                <c:pt idx="6">
                  <c:v>7750</c:v>
                </c:pt>
                <c:pt idx="7">
                  <c:v>7750</c:v>
                </c:pt>
                <c:pt idx="8">
                  <c:v>7750</c:v>
                </c:pt>
                <c:pt idx="9">
                  <c:v>23250</c:v>
                </c:pt>
                <c:pt idx="10">
                  <c:v>15500</c:v>
                </c:pt>
                <c:pt idx="11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F-4491-83B3-8FF5B2BBE0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818196192"/>
        <c:axId val="521696368"/>
      </c:barChart>
      <c:catAx>
        <c:axId val="81819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696368"/>
        <c:crosses val="autoZero"/>
        <c:auto val="1"/>
        <c:lblAlgn val="ctr"/>
        <c:lblOffset val="100"/>
        <c:noMultiLvlLbl val="0"/>
      </c:catAx>
      <c:valAx>
        <c:axId val="5216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Production (units)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19619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Budgeted Football Direct Materials Usage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Cowhide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MonthlyDMUsage!$B$4:$M$4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MonthlyDMUsage!$B$12:$M$12</c:f>
              <c:numCache>
                <c:formatCode>_("$"* #,##0.00_);_("$"* \(#,##0.00\);_("$"* "-"??_);_(@_)</c:formatCode>
                <c:ptCount val="12"/>
                <c:pt idx="0">
                  <c:v>13100</c:v>
                </c:pt>
                <c:pt idx="1">
                  <c:v>13100</c:v>
                </c:pt>
                <c:pt idx="2">
                  <c:v>19650</c:v>
                </c:pt>
                <c:pt idx="3">
                  <c:v>26200</c:v>
                </c:pt>
                <c:pt idx="4">
                  <c:v>45850</c:v>
                </c:pt>
                <c:pt idx="5">
                  <c:v>52400</c:v>
                </c:pt>
                <c:pt idx="6">
                  <c:v>58950</c:v>
                </c:pt>
                <c:pt idx="7">
                  <c:v>65500</c:v>
                </c:pt>
                <c:pt idx="8">
                  <c:v>72050</c:v>
                </c:pt>
                <c:pt idx="9">
                  <c:v>91700</c:v>
                </c:pt>
                <c:pt idx="10">
                  <c:v>98250</c:v>
                </c:pt>
                <c:pt idx="11">
                  <c:v>98250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D-4F98-B794-0BE90174B278}"/>
            </c:ext>
          </c:extLst>
        </c:ser>
        <c:ser>
          <c:idx val="1"/>
          <c:order val="1"/>
          <c:tx>
            <c:v>Rubber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MonthlyDMUsage!$B$4:$M$4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MonthlyDMUsage!$B$14:$M$14</c:f>
              <c:numCache>
                <c:formatCode>_("$"* #,##0.00_);_("$"* \(#,##0.00\);_("$"* "-"??_);_(@_)</c:formatCode>
                <c:ptCount val="12"/>
                <c:pt idx="0">
                  <c:v>7860</c:v>
                </c:pt>
                <c:pt idx="1">
                  <c:v>7860</c:v>
                </c:pt>
                <c:pt idx="2">
                  <c:v>11790</c:v>
                </c:pt>
                <c:pt idx="3">
                  <c:v>15720</c:v>
                </c:pt>
                <c:pt idx="4">
                  <c:v>27510.000000000004</c:v>
                </c:pt>
                <c:pt idx="5">
                  <c:v>31440</c:v>
                </c:pt>
                <c:pt idx="6">
                  <c:v>35370</c:v>
                </c:pt>
                <c:pt idx="7">
                  <c:v>39300</c:v>
                </c:pt>
                <c:pt idx="8">
                  <c:v>43230</c:v>
                </c:pt>
                <c:pt idx="9">
                  <c:v>55020.000000000007</c:v>
                </c:pt>
                <c:pt idx="10">
                  <c:v>58950</c:v>
                </c:pt>
                <c:pt idx="11">
                  <c:v>58950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D-4F98-B794-0BE90174B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8375424"/>
        <c:axId val="1356040064"/>
        <c:axId val="0"/>
      </c:bar3DChart>
      <c:catAx>
        <c:axId val="8083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6040064"/>
        <c:crosses val="autoZero"/>
        <c:auto val="1"/>
        <c:lblAlgn val="ctr"/>
        <c:lblOffset val="100"/>
        <c:noMultiLvlLbl val="0"/>
      </c:catAx>
      <c:valAx>
        <c:axId val="13560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37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Budgeted Bsaketball Direct Materials Usage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Leather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MonthlyDMUsage!$B$4:$M$4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MonthlyDMUsage!$B$15:$M$15</c:f>
              <c:numCache>
                <c:formatCode>_("$"* #,##0.00_);_("$"* \(#,##0.00\);_("$"* "-"??_);_(@_)</c:formatCode>
                <c:ptCount val="12"/>
                <c:pt idx="0">
                  <c:v>39300</c:v>
                </c:pt>
                <c:pt idx="1">
                  <c:v>39300</c:v>
                </c:pt>
                <c:pt idx="2">
                  <c:v>39300</c:v>
                </c:pt>
                <c:pt idx="3">
                  <c:v>39300</c:v>
                </c:pt>
                <c:pt idx="4">
                  <c:v>19650</c:v>
                </c:pt>
                <c:pt idx="5">
                  <c:v>19650</c:v>
                </c:pt>
                <c:pt idx="6">
                  <c:v>19650</c:v>
                </c:pt>
                <c:pt idx="7">
                  <c:v>19650</c:v>
                </c:pt>
                <c:pt idx="8">
                  <c:v>19650</c:v>
                </c:pt>
                <c:pt idx="9">
                  <c:v>58950</c:v>
                </c:pt>
                <c:pt idx="10">
                  <c:v>39300</c:v>
                </c:pt>
                <c:pt idx="11">
                  <c:v>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C-4860-96E7-260A96F5F4B7}"/>
            </c:ext>
          </c:extLst>
        </c:ser>
        <c:ser>
          <c:idx val="1"/>
          <c:order val="1"/>
          <c:tx>
            <c:v>Rubber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MonthlyDMUsage!$B$4:$M$4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MonthlyDMUsage!$B$16:$M$16</c:f>
              <c:numCache>
                <c:formatCode>_("$"* #,##0.00_);_("$"* \(#,##0.00\);_("$"* "-"??_);_(@_)</c:formatCode>
                <c:ptCount val="12"/>
                <c:pt idx="0">
                  <c:v>32750</c:v>
                </c:pt>
                <c:pt idx="1">
                  <c:v>32750</c:v>
                </c:pt>
                <c:pt idx="2">
                  <c:v>32750</c:v>
                </c:pt>
                <c:pt idx="3">
                  <c:v>32750</c:v>
                </c:pt>
                <c:pt idx="4">
                  <c:v>16375</c:v>
                </c:pt>
                <c:pt idx="5">
                  <c:v>16375</c:v>
                </c:pt>
                <c:pt idx="6">
                  <c:v>16375</c:v>
                </c:pt>
                <c:pt idx="7">
                  <c:v>16375</c:v>
                </c:pt>
                <c:pt idx="8">
                  <c:v>16375</c:v>
                </c:pt>
                <c:pt idx="9">
                  <c:v>49125</c:v>
                </c:pt>
                <c:pt idx="10">
                  <c:v>32750</c:v>
                </c:pt>
                <c:pt idx="11">
                  <c:v>32750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C-4860-96E7-260A96F5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8390112"/>
        <c:axId val="1356080000"/>
        <c:axId val="923975760"/>
      </c:bar3DChart>
      <c:catAx>
        <c:axId val="95839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6080000"/>
        <c:crosses val="autoZero"/>
        <c:auto val="1"/>
        <c:lblAlgn val="ctr"/>
        <c:lblOffset val="100"/>
        <c:noMultiLvlLbl val="0"/>
      </c:catAx>
      <c:valAx>
        <c:axId val="135608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390112"/>
        <c:crosses val="autoZero"/>
        <c:crossBetween val="between"/>
      </c:valAx>
      <c:serAx>
        <c:axId val="9239757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356080000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Football Direct Material Purchases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Cowhide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'Monthly Purchases'!$B$4:$M$4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Purchases'!$B$13:$M$13</c:f>
              <c:numCache>
                <c:formatCode>_("$"* #,##0.00_);_("$"* \(#,##0.00\);_("$"* "-"??_);_(@_)</c:formatCode>
                <c:ptCount val="12"/>
                <c:pt idx="0">
                  <c:v>13362</c:v>
                </c:pt>
                <c:pt idx="1">
                  <c:v>13362</c:v>
                </c:pt>
                <c:pt idx="2">
                  <c:v>20043</c:v>
                </c:pt>
                <c:pt idx="3">
                  <c:v>26724</c:v>
                </c:pt>
                <c:pt idx="4">
                  <c:v>46767.000000000007</c:v>
                </c:pt>
                <c:pt idx="5">
                  <c:v>53448</c:v>
                </c:pt>
                <c:pt idx="6">
                  <c:v>60129</c:v>
                </c:pt>
                <c:pt idx="7">
                  <c:v>66810</c:v>
                </c:pt>
                <c:pt idx="8">
                  <c:v>73491</c:v>
                </c:pt>
                <c:pt idx="9">
                  <c:v>93534.000000000015</c:v>
                </c:pt>
                <c:pt idx="10">
                  <c:v>100215</c:v>
                </c:pt>
                <c:pt idx="11">
                  <c:v>100215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A-4BD7-B276-C9B3D6663F1F}"/>
            </c:ext>
          </c:extLst>
        </c:ser>
        <c:ser>
          <c:idx val="1"/>
          <c:order val="1"/>
          <c:tx>
            <c:v>Rubber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'Monthly Purchases'!$B$4:$M$4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Purchases'!$B$15:$M$15</c:f>
              <c:numCache>
                <c:formatCode>_("$"* #,##0.00_);_("$"* \(#,##0.00\);_("$"* "-"??_);_(@_)</c:formatCode>
                <c:ptCount val="12"/>
                <c:pt idx="0">
                  <c:v>8331.6</c:v>
                </c:pt>
                <c:pt idx="1">
                  <c:v>8331.6</c:v>
                </c:pt>
                <c:pt idx="2">
                  <c:v>12497.4</c:v>
                </c:pt>
                <c:pt idx="3">
                  <c:v>16663.2</c:v>
                </c:pt>
                <c:pt idx="4">
                  <c:v>29160.600000000002</c:v>
                </c:pt>
                <c:pt idx="5">
                  <c:v>33326.400000000001</c:v>
                </c:pt>
                <c:pt idx="6">
                  <c:v>37492.199999999997</c:v>
                </c:pt>
                <c:pt idx="7">
                  <c:v>41658</c:v>
                </c:pt>
                <c:pt idx="8">
                  <c:v>45823.8</c:v>
                </c:pt>
                <c:pt idx="9">
                  <c:v>58321.200000000004</c:v>
                </c:pt>
                <c:pt idx="10">
                  <c:v>62487</c:v>
                </c:pt>
                <c:pt idx="11">
                  <c:v>62487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A-4BD7-B276-C9B3D6663F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51211984"/>
        <c:axId val="346924848"/>
      </c:barChart>
      <c:catAx>
        <c:axId val="65121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924848"/>
        <c:crosses val="autoZero"/>
        <c:auto val="1"/>
        <c:lblAlgn val="ctr"/>
        <c:lblOffset val="100"/>
        <c:noMultiLvlLbl val="0"/>
      </c:catAx>
      <c:valAx>
        <c:axId val="3469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21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Budgeted Basketball Direct Material Purchases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Leather</c:v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'Monthly Purchases'!$B$4:$M$4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Purchases'!$B$17:$M$17</c:f>
              <c:numCache>
                <c:formatCode>_("$"* #,##0.00_);_("$"* \(#,##0.00\);_("$"* "-"??_);_(@_)</c:formatCode>
                <c:ptCount val="12"/>
                <c:pt idx="0">
                  <c:v>36025</c:v>
                </c:pt>
                <c:pt idx="1">
                  <c:v>36025</c:v>
                </c:pt>
                <c:pt idx="2">
                  <c:v>36025</c:v>
                </c:pt>
                <c:pt idx="3">
                  <c:v>36025</c:v>
                </c:pt>
                <c:pt idx="4">
                  <c:v>18012.5</c:v>
                </c:pt>
                <c:pt idx="5">
                  <c:v>18012.5</c:v>
                </c:pt>
                <c:pt idx="6">
                  <c:v>18012.5</c:v>
                </c:pt>
                <c:pt idx="7">
                  <c:v>18012.5</c:v>
                </c:pt>
                <c:pt idx="8">
                  <c:v>18012.5</c:v>
                </c:pt>
                <c:pt idx="9">
                  <c:v>54037.5</c:v>
                </c:pt>
                <c:pt idx="10">
                  <c:v>36025</c:v>
                </c:pt>
                <c:pt idx="11">
                  <c:v>36025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7-4BF2-A577-F5FBA66D49EF}"/>
            </c:ext>
          </c:extLst>
        </c:ser>
        <c:ser>
          <c:idx val="0"/>
          <c:order val="1"/>
          <c:tx>
            <c:v>Rubber</c:v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'Monthly Purchases'!$B$4:$M$4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Purchases'!$B$16:$M$16</c:f>
              <c:numCache>
                <c:formatCode>_("$"* #,##0.00_);_("$"* \(#,##0.00\);_("$"* "-"??_);_(@_)</c:formatCode>
                <c:ptCount val="12"/>
                <c:pt idx="0">
                  <c:v>41658</c:v>
                </c:pt>
                <c:pt idx="1">
                  <c:v>41658</c:v>
                </c:pt>
                <c:pt idx="2">
                  <c:v>41658</c:v>
                </c:pt>
                <c:pt idx="3">
                  <c:v>41658</c:v>
                </c:pt>
                <c:pt idx="4">
                  <c:v>20829</c:v>
                </c:pt>
                <c:pt idx="5">
                  <c:v>20829</c:v>
                </c:pt>
                <c:pt idx="6">
                  <c:v>20829</c:v>
                </c:pt>
                <c:pt idx="7">
                  <c:v>20829</c:v>
                </c:pt>
                <c:pt idx="8">
                  <c:v>20829</c:v>
                </c:pt>
                <c:pt idx="9">
                  <c:v>62487</c:v>
                </c:pt>
                <c:pt idx="10">
                  <c:v>41658</c:v>
                </c:pt>
                <c:pt idx="11">
                  <c:v>41658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7-4BF2-A577-F5FBA66D4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69226896"/>
        <c:axId val="713942192"/>
      </c:barChart>
      <c:catAx>
        <c:axId val="76922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942192"/>
        <c:crosses val="autoZero"/>
        <c:auto val="1"/>
        <c:lblAlgn val="ctr"/>
        <c:lblOffset val="100"/>
        <c:noMultiLvlLbl val="0"/>
      </c:catAx>
      <c:valAx>
        <c:axId val="71394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22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Budgeted Monthly Labor Usage in Dollars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Football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'Monthly Labor'!$B$6:$M$6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Labor'!$B$13:$M$13</c:f>
              <c:numCache>
                <c:formatCode>_("$"* #,##0.00_);_("$"* \(#,##0.00\);_("$"* "-"??_);_(@_)</c:formatCode>
                <c:ptCount val="12"/>
                <c:pt idx="0">
                  <c:v>7427.7</c:v>
                </c:pt>
                <c:pt idx="1">
                  <c:v>7427.7</c:v>
                </c:pt>
                <c:pt idx="2">
                  <c:v>11141.55</c:v>
                </c:pt>
                <c:pt idx="3">
                  <c:v>14855.4</c:v>
                </c:pt>
                <c:pt idx="4">
                  <c:v>25996.95</c:v>
                </c:pt>
                <c:pt idx="5">
                  <c:v>29710.799999999999</c:v>
                </c:pt>
                <c:pt idx="6">
                  <c:v>33424.65</c:v>
                </c:pt>
                <c:pt idx="7">
                  <c:v>37138.5</c:v>
                </c:pt>
                <c:pt idx="8">
                  <c:v>40852.35</c:v>
                </c:pt>
                <c:pt idx="9">
                  <c:v>51993.9</c:v>
                </c:pt>
                <c:pt idx="10">
                  <c:v>55707.75</c:v>
                </c:pt>
                <c:pt idx="11">
                  <c:v>55707.75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1-42E1-A6FD-6C8A0D8A97CF}"/>
            </c:ext>
          </c:extLst>
        </c:ser>
        <c:ser>
          <c:idx val="1"/>
          <c:order val="1"/>
          <c:tx>
            <c:v>Basketball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'Monthly Labor'!$B$6:$M$6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Labor'!$B$25:$M$25</c:f>
              <c:numCache>
                <c:formatCode>_("$"* #,##0.00_);_("$"* \(#,##0.00\);_("$"* "-"??_);_(@_)</c:formatCode>
                <c:ptCount val="12"/>
                <c:pt idx="0">
                  <c:v>43942.5</c:v>
                </c:pt>
                <c:pt idx="1">
                  <c:v>43942.5</c:v>
                </c:pt>
                <c:pt idx="2">
                  <c:v>43942.5</c:v>
                </c:pt>
                <c:pt idx="3">
                  <c:v>43942.5</c:v>
                </c:pt>
                <c:pt idx="4">
                  <c:v>21971.25</c:v>
                </c:pt>
                <c:pt idx="5">
                  <c:v>21971.25</c:v>
                </c:pt>
                <c:pt idx="6">
                  <c:v>21971.25</c:v>
                </c:pt>
                <c:pt idx="7">
                  <c:v>21971.25</c:v>
                </c:pt>
                <c:pt idx="8">
                  <c:v>21971.25</c:v>
                </c:pt>
                <c:pt idx="9">
                  <c:v>65913.749999999985</c:v>
                </c:pt>
                <c:pt idx="10">
                  <c:v>43942.5</c:v>
                </c:pt>
                <c:pt idx="11">
                  <c:v>43942.5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1-42E1-A6FD-6C8A0D8A9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424384"/>
        <c:axId val="784593264"/>
      </c:lineChart>
      <c:catAx>
        <c:axId val="7824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593264"/>
        <c:crosses val="autoZero"/>
        <c:auto val="1"/>
        <c:lblAlgn val="ctr"/>
        <c:lblOffset val="100"/>
        <c:noMultiLvlLbl val="0"/>
      </c:catAx>
      <c:valAx>
        <c:axId val="78459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4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C46E2F-A518-466D-B0DD-4D4E9FF0D0C5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4777F2-CB59-4277-B913-29029B19A4C0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309D10-C550-42BA-BA70-462672C795A1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8AFFF2-D4B8-464D-8918-C90A60702D60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5A7527-1510-4E38-B7DD-F1C0C7303F65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DB40EC0-9311-4ED3-93A8-24582AE047A0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98CA89-A175-4F50-85CA-6B83CCD319BA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E8E9E4-70F3-4E88-8902-FF449AF6D159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113020D-39EC-486B-8B0C-A64AF2873074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71DB39-35CE-4006-BADB-CFB2F57A9B40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57D321-E05B-49AF-A149-F0492E9BD89E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EB1C02-688C-4F57-B103-FCDC0841E8F4}">
  <sheetPr/>
  <sheetViews>
    <sheetView zoomScale="6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A6487F-A8D1-4F40-845D-4AAADE0CB68B}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0A949-8D49-479F-AF05-D0F42CE2C8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6FE55-BC14-4857-AA0E-7EDEED6702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0.43824</cdr:x>
      <cdr:y>0.34499</cdr:y>
    </cdr:from>
    <cdr:to>
      <cdr:x>0.57022</cdr:x>
      <cdr:y>0.41142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67CC0A5-FC04-4403-A8B4-CB1C34A19E69}"/>
            </a:ext>
          </a:extLst>
        </cdr:cNvPr>
        <cdr:cNvSpPr txBox="1"/>
      </cdr:nvSpPr>
      <cdr:spPr>
        <a:xfrm xmlns:a="http://schemas.openxmlformats.org/drawingml/2006/main">
          <a:off x="3795346" y="2168770"/>
          <a:ext cx="1143000" cy="4176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>
              <a:solidFill>
                <a:schemeClr val="bg1"/>
              </a:solidFill>
            </a:rPr>
            <a:t>Footballs</a:t>
          </a:r>
        </a:p>
      </cdr:txBody>
    </cdr:sp>
  </cdr:relSizeAnchor>
  <cdr:relSizeAnchor xmlns:cdr="http://schemas.openxmlformats.org/drawingml/2006/chartDrawing">
    <cdr:from>
      <cdr:x>0.78596</cdr:x>
      <cdr:y>0.08974</cdr:y>
    </cdr:from>
    <cdr:to>
      <cdr:x>0.94924</cdr:x>
      <cdr:y>0.15316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62F7CDD-25F5-48F8-A51D-125F9F1BC33F}"/>
            </a:ext>
          </a:extLst>
        </cdr:cNvPr>
        <cdr:cNvSpPr txBox="1"/>
      </cdr:nvSpPr>
      <cdr:spPr>
        <a:xfrm xmlns:a="http://schemas.openxmlformats.org/drawingml/2006/main">
          <a:off x="6806712" y="564173"/>
          <a:ext cx="1414096" cy="3986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>
              <a:solidFill>
                <a:schemeClr val="bg1"/>
              </a:solidFill>
            </a:rPr>
            <a:t>Basketballs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8504D1-5E17-4771-8941-4A18E6237D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A8306C-4755-4CD1-ABA9-4503D54382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7E8967-BAEA-49D7-B813-5E5BEA3356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D7E901-FB32-4F6C-BDBD-95BD33CCA6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6B2F53-A6BB-4C7C-BCE6-593AA63EDC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1ED8F-02A5-4E37-9AB8-4DFD0C6800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8FF116-F7A0-41D9-8220-D954DD122A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BCCD5B-9264-4B2C-AB2C-99EBFEF756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B256F7-2D89-4E8B-A62C-3061C8A034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54C302-1565-48C3-BF02-F889836F77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01661D-0520-4E9F-93A8-C7C8B69AC7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68"/>
  <sheetViews>
    <sheetView showGridLines="0" topLeftCell="A30" workbookViewId="0">
      <selection activeCell="B5" sqref="B5"/>
    </sheetView>
  </sheetViews>
  <sheetFormatPr defaultColWidth="14.28515625" defaultRowHeight="15.75" customHeight="1"/>
  <cols>
    <col min="1" max="1" width="38.28515625" style="18" customWidth="1"/>
    <col min="2" max="2" width="16.85546875" style="18" customWidth="1"/>
    <col min="3" max="3" width="16.28515625" style="18" customWidth="1"/>
    <col min="4" max="16384" width="14.28515625" style="18"/>
  </cols>
  <sheetData>
    <row r="1" spans="1:16" ht="22.15">
      <c r="A1" s="84" t="s">
        <v>0</v>
      </c>
      <c r="B1" s="85"/>
      <c r="C1" s="85"/>
    </row>
    <row r="2" spans="1:16" ht="15">
      <c r="A2" s="17" t="s">
        <v>1</v>
      </c>
    </row>
    <row r="3" spans="1:16" ht="15">
      <c r="A3" s="17" t="s">
        <v>2</v>
      </c>
    </row>
    <row r="4" spans="1:16" ht="15.75" customHeight="1">
      <c r="D4" s="19" t="s">
        <v>3</v>
      </c>
      <c r="F4" s="19"/>
      <c r="G4" s="19" t="s">
        <v>4</v>
      </c>
      <c r="J4" s="81" t="s">
        <v>5</v>
      </c>
      <c r="K4" s="86"/>
      <c r="L4" s="17"/>
      <c r="N4" s="81" t="s">
        <v>6</v>
      </c>
      <c r="O4" s="86"/>
    </row>
    <row r="5" spans="1:16" ht="15.75" customHeight="1">
      <c r="A5" s="19" t="s">
        <v>7</v>
      </c>
      <c r="D5" s="20">
        <v>30</v>
      </c>
      <c r="E5" s="20"/>
      <c r="F5" s="20"/>
      <c r="G5" s="20">
        <v>20</v>
      </c>
      <c r="J5" s="17"/>
      <c r="K5" s="21" t="s">
        <v>3</v>
      </c>
      <c r="L5" s="21" t="s">
        <v>4</v>
      </c>
      <c r="N5" s="21"/>
      <c r="O5" s="21" t="s">
        <v>3</v>
      </c>
      <c r="P5" s="21" t="s">
        <v>4</v>
      </c>
    </row>
    <row r="6" spans="1:16" ht="15.75" customHeight="1">
      <c r="J6" s="17" t="s">
        <v>8</v>
      </c>
      <c r="K6" s="22">
        <v>0.02</v>
      </c>
      <c r="L6" s="17">
        <v>0.1</v>
      </c>
      <c r="M6" s="17"/>
      <c r="N6" s="17" t="s">
        <v>8</v>
      </c>
      <c r="O6" s="22">
        <v>0.02</v>
      </c>
      <c r="P6" s="17">
        <v>0.1</v>
      </c>
    </row>
    <row r="7" spans="1:16" ht="15">
      <c r="A7" s="19" t="s">
        <v>9</v>
      </c>
      <c r="D7" s="19">
        <v>125000</v>
      </c>
      <c r="F7" s="19"/>
      <c r="G7" s="19">
        <v>150000</v>
      </c>
      <c r="J7" s="17" t="s">
        <v>10</v>
      </c>
      <c r="K7" s="22">
        <v>0.02</v>
      </c>
      <c r="L7" s="17">
        <v>0.1</v>
      </c>
      <c r="M7" s="17"/>
      <c r="N7" s="17" t="s">
        <v>10</v>
      </c>
      <c r="O7" s="22">
        <v>0.02</v>
      </c>
      <c r="P7" s="17">
        <v>0.1</v>
      </c>
    </row>
    <row r="8" spans="1:16" ht="15">
      <c r="J8" s="17" t="s">
        <v>11</v>
      </c>
      <c r="K8" s="22">
        <v>0.03</v>
      </c>
      <c r="L8" s="17">
        <v>0.1</v>
      </c>
      <c r="M8" s="17"/>
      <c r="N8" s="17" t="s">
        <v>11</v>
      </c>
      <c r="O8" s="22">
        <v>0.03</v>
      </c>
      <c r="P8" s="17">
        <v>0.1</v>
      </c>
    </row>
    <row r="9" spans="1:16" ht="15">
      <c r="A9" s="19" t="s">
        <v>12</v>
      </c>
      <c r="D9" s="23">
        <f>AnnualProduction!B10</f>
        <v>131000</v>
      </c>
      <c r="F9" s="19"/>
      <c r="G9" s="23">
        <f>AnnualProduction!C10</f>
        <v>155000</v>
      </c>
      <c r="J9" s="17" t="s">
        <v>13</v>
      </c>
      <c r="K9" s="22">
        <v>0.04</v>
      </c>
      <c r="L9" s="17">
        <v>0.1</v>
      </c>
      <c r="M9" s="17"/>
      <c r="N9" s="17" t="s">
        <v>13</v>
      </c>
      <c r="O9" s="22">
        <v>0.04</v>
      </c>
      <c r="P9" s="17">
        <v>0.1</v>
      </c>
    </row>
    <row r="10" spans="1:16" ht="15">
      <c r="J10" s="17" t="s">
        <v>14</v>
      </c>
      <c r="K10" s="22">
        <v>7.0000000000000007E-2</v>
      </c>
      <c r="L10" s="17">
        <v>0.05</v>
      </c>
      <c r="M10" s="17"/>
      <c r="N10" s="17" t="s">
        <v>14</v>
      </c>
      <c r="O10" s="22">
        <v>7.0000000000000007E-2</v>
      </c>
      <c r="P10" s="17">
        <v>0.05</v>
      </c>
    </row>
    <row r="11" spans="1:16" ht="15">
      <c r="A11" s="19" t="s">
        <v>15</v>
      </c>
      <c r="D11" s="19" t="s">
        <v>3</v>
      </c>
      <c r="F11" s="19"/>
      <c r="G11" s="19" t="s">
        <v>4</v>
      </c>
      <c r="J11" s="17" t="s">
        <v>16</v>
      </c>
      <c r="K11" s="22">
        <v>0.08</v>
      </c>
      <c r="L11" s="17">
        <v>0.05</v>
      </c>
      <c r="M11" s="17"/>
      <c r="N11" s="17" t="s">
        <v>16</v>
      </c>
      <c r="O11" s="22">
        <v>0.08</v>
      </c>
      <c r="P11" s="17">
        <v>0.05</v>
      </c>
    </row>
    <row r="12" spans="1:16" ht="15">
      <c r="A12" s="19" t="s">
        <v>17</v>
      </c>
      <c r="D12" s="19" t="s">
        <v>18</v>
      </c>
      <c r="E12" s="19" t="s">
        <v>19</v>
      </c>
      <c r="F12" s="19" t="s">
        <v>20</v>
      </c>
      <c r="G12" s="19" t="s">
        <v>18</v>
      </c>
      <c r="H12" s="19" t="s">
        <v>19</v>
      </c>
      <c r="I12" s="19" t="s">
        <v>20</v>
      </c>
      <c r="J12" s="17" t="s">
        <v>21</v>
      </c>
      <c r="K12" s="22">
        <v>0.09</v>
      </c>
      <c r="L12" s="17">
        <v>0.05</v>
      </c>
      <c r="M12" s="17"/>
      <c r="N12" s="17" t="s">
        <v>21</v>
      </c>
      <c r="O12" s="22">
        <v>0.09</v>
      </c>
      <c r="P12" s="17">
        <v>0.05</v>
      </c>
    </row>
    <row r="13" spans="1:16" ht="15">
      <c r="A13" s="19" t="s">
        <v>22</v>
      </c>
      <c r="D13" s="19">
        <v>2</v>
      </c>
      <c r="E13" s="20">
        <v>2.5</v>
      </c>
      <c r="F13" s="20">
        <f t="shared" ref="F13:F14" si="0">D13*E13</f>
        <v>5</v>
      </c>
      <c r="H13" s="20"/>
      <c r="J13" s="17" t="s">
        <v>23</v>
      </c>
      <c r="K13" s="22">
        <v>0.1</v>
      </c>
      <c r="L13" s="17">
        <v>0.05</v>
      </c>
      <c r="M13" s="17"/>
      <c r="N13" s="17" t="s">
        <v>23</v>
      </c>
      <c r="O13" s="22">
        <v>0.1</v>
      </c>
      <c r="P13" s="17">
        <v>0.05</v>
      </c>
    </row>
    <row r="14" spans="1:16" ht="15">
      <c r="A14" s="19" t="s">
        <v>24</v>
      </c>
      <c r="D14" s="19">
        <v>1.5</v>
      </c>
      <c r="E14" s="20">
        <v>2</v>
      </c>
      <c r="F14" s="20">
        <f t="shared" si="0"/>
        <v>3</v>
      </c>
      <c r="G14" s="19">
        <v>1.5</v>
      </c>
      <c r="H14" s="20">
        <v>2</v>
      </c>
      <c r="I14" s="20">
        <f t="shared" ref="I14:I15" si="1">G14*H14</f>
        <v>3</v>
      </c>
      <c r="J14" s="17" t="s">
        <v>25</v>
      </c>
      <c r="K14" s="22">
        <v>0.11</v>
      </c>
      <c r="L14" s="17">
        <v>0.05</v>
      </c>
      <c r="M14" s="17"/>
      <c r="N14" s="17" t="s">
        <v>25</v>
      </c>
      <c r="O14" s="22">
        <v>0.11</v>
      </c>
      <c r="P14" s="17">
        <v>0.05</v>
      </c>
    </row>
    <row r="15" spans="1:16" ht="15">
      <c r="A15" s="19" t="s">
        <v>26</v>
      </c>
      <c r="E15" s="20"/>
      <c r="F15" s="19"/>
      <c r="G15" s="19">
        <v>2</v>
      </c>
      <c r="H15" s="20">
        <v>1.25</v>
      </c>
      <c r="I15" s="20">
        <f t="shared" si="1"/>
        <v>2.5</v>
      </c>
      <c r="J15" s="17" t="s">
        <v>27</v>
      </c>
      <c r="K15" s="22">
        <v>0.14000000000000001</v>
      </c>
      <c r="L15" s="17">
        <v>0.15</v>
      </c>
      <c r="M15" s="17"/>
      <c r="N15" s="17" t="s">
        <v>27</v>
      </c>
      <c r="O15" s="22">
        <v>0.14000000000000001</v>
      </c>
      <c r="P15" s="17">
        <v>0.15</v>
      </c>
    </row>
    <row r="16" spans="1:16" ht="15">
      <c r="A16" s="19" t="s">
        <v>28</v>
      </c>
      <c r="H16" s="20"/>
      <c r="I16" s="20"/>
      <c r="J16" s="17" t="s">
        <v>29</v>
      </c>
      <c r="K16" s="22">
        <v>0.15</v>
      </c>
      <c r="L16" s="17">
        <v>0.1</v>
      </c>
      <c r="M16" s="17"/>
      <c r="N16" s="17" t="s">
        <v>29</v>
      </c>
      <c r="O16" s="22">
        <v>0.15</v>
      </c>
      <c r="P16" s="17">
        <v>0.1</v>
      </c>
    </row>
    <row r="17" spans="1:16" ht="15">
      <c r="A17" s="19" t="s">
        <v>30</v>
      </c>
      <c r="D17" s="19">
        <v>0.2</v>
      </c>
      <c r="E17" s="20">
        <v>9.4499999999999993</v>
      </c>
      <c r="F17" s="20">
        <f t="shared" ref="F17:F18" si="2">D17*E17</f>
        <v>1.89</v>
      </c>
      <c r="H17" s="20"/>
      <c r="I17" s="20"/>
      <c r="J17" s="17" t="s">
        <v>31</v>
      </c>
      <c r="K17" s="22">
        <v>0.15</v>
      </c>
      <c r="L17" s="17">
        <v>0.1</v>
      </c>
      <c r="M17" s="17"/>
      <c r="N17" s="17" t="s">
        <v>31</v>
      </c>
      <c r="O17" s="22">
        <v>0.15</v>
      </c>
      <c r="P17" s="17">
        <v>0.1</v>
      </c>
    </row>
    <row r="18" spans="1:16" ht="15">
      <c r="A18" s="19" t="s">
        <v>32</v>
      </c>
      <c r="D18" s="19">
        <v>0.1</v>
      </c>
      <c r="E18" s="20">
        <v>9.4499999999999993</v>
      </c>
      <c r="F18" s="20">
        <f t="shared" si="2"/>
        <v>0.94499999999999995</v>
      </c>
      <c r="G18" s="19">
        <v>0.15</v>
      </c>
      <c r="H18" s="20">
        <v>9.4499999999999993</v>
      </c>
      <c r="I18" s="20">
        <f t="shared" ref="I18:I19" si="3">G18*H18</f>
        <v>1.4174999999999998</v>
      </c>
      <c r="J18" s="17" t="s">
        <v>33</v>
      </c>
      <c r="K18" s="24">
        <f t="shared" ref="K18:L18" si="4">SUM(K6:K17)</f>
        <v>1</v>
      </c>
      <c r="L18" s="24">
        <f t="shared" si="4"/>
        <v>1.0000000000000002</v>
      </c>
      <c r="M18" s="17"/>
      <c r="N18" s="17" t="s">
        <v>33</v>
      </c>
      <c r="O18" s="24">
        <f t="shared" ref="O18:P18" si="5">SUM(O6:O17)</f>
        <v>1</v>
      </c>
      <c r="P18" s="24">
        <f t="shared" si="5"/>
        <v>1.0000000000000002</v>
      </c>
    </row>
    <row r="19" spans="1:16" ht="13.15">
      <c r="A19" s="19" t="s">
        <v>34</v>
      </c>
      <c r="E19" s="20"/>
      <c r="F19" s="19"/>
      <c r="G19" s="19">
        <v>0.15</v>
      </c>
      <c r="H19" s="20">
        <v>9.4499999999999993</v>
      </c>
      <c r="I19" s="20">
        <f t="shared" si="3"/>
        <v>1.4174999999999998</v>
      </c>
    </row>
    <row r="20" spans="1:16" ht="13.15">
      <c r="H20" s="20"/>
    </row>
    <row r="21" spans="1:16" ht="13.15">
      <c r="A21" s="19" t="s">
        <v>35</v>
      </c>
      <c r="C21" s="19"/>
    </row>
    <row r="22" spans="1:16" ht="13.15">
      <c r="A22" s="19" t="s">
        <v>17</v>
      </c>
      <c r="C22" s="19" t="s">
        <v>36</v>
      </c>
      <c r="D22" s="19" t="s">
        <v>37</v>
      </c>
      <c r="E22" s="19"/>
    </row>
    <row r="23" spans="1:16" ht="13.15">
      <c r="A23" s="19" t="s">
        <v>22</v>
      </c>
      <c r="C23" s="25">
        <f>MonthlyDMUsage!B5</f>
        <v>5240</v>
      </c>
      <c r="D23" s="19">
        <f>100*D13</f>
        <v>200</v>
      </c>
    </row>
    <row r="24" spans="1:16" ht="13.15">
      <c r="A24" s="19" t="s">
        <v>24</v>
      </c>
      <c r="C24" s="25">
        <f>MonthlyDMUsage!B7+MonthlyDMUsage!B8</f>
        <v>23580</v>
      </c>
      <c r="D24" s="19">
        <f>100*(D14+G14)</f>
        <v>300</v>
      </c>
    </row>
    <row r="25" spans="1:16" ht="13.15">
      <c r="A25" s="19" t="s">
        <v>26</v>
      </c>
      <c r="C25" s="25">
        <f>MonthlyDMUsage!B9</f>
        <v>26200</v>
      </c>
      <c r="D25" s="19">
        <f>100*G15</f>
        <v>200</v>
      </c>
    </row>
    <row r="26" spans="1:16" ht="13.15">
      <c r="A26" s="19" t="s">
        <v>38</v>
      </c>
    </row>
    <row r="27" spans="1:16" ht="13.15">
      <c r="A27" s="19" t="s">
        <v>3</v>
      </c>
      <c r="C27" s="19">
        <v>3000</v>
      </c>
    </row>
    <row r="28" spans="1:16" ht="13.15">
      <c r="A28" s="19" t="s">
        <v>4</v>
      </c>
      <c r="C28" s="19">
        <v>2000</v>
      </c>
    </row>
    <row r="29" spans="1:16" ht="13.15">
      <c r="A29" s="19" t="s">
        <v>39</v>
      </c>
    </row>
    <row r="30" spans="1:16" ht="13.15">
      <c r="A30" s="19" t="s">
        <v>3</v>
      </c>
      <c r="C30" s="19">
        <v>6000</v>
      </c>
    </row>
    <row r="31" spans="1:16" ht="13.15">
      <c r="A31" s="19" t="s">
        <v>4</v>
      </c>
      <c r="C31" s="19">
        <v>5000</v>
      </c>
    </row>
    <row r="33" spans="1:7" ht="15">
      <c r="A33" s="17"/>
      <c r="B33" s="21" t="s">
        <v>3</v>
      </c>
      <c r="C33" s="26"/>
      <c r="D33" s="26"/>
      <c r="E33" s="21" t="s">
        <v>4</v>
      </c>
      <c r="F33" s="26"/>
      <c r="G33" s="26"/>
    </row>
    <row r="34" spans="1:7" ht="15">
      <c r="A34" s="17" t="s">
        <v>40</v>
      </c>
      <c r="B34" s="27" t="s">
        <v>33</v>
      </c>
      <c r="C34" s="26" t="s">
        <v>41</v>
      </c>
      <c r="D34" s="26"/>
      <c r="E34" s="27" t="s">
        <v>33</v>
      </c>
      <c r="F34" s="26" t="s">
        <v>41</v>
      </c>
      <c r="G34" s="26"/>
    </row>
    <row r="35" spans="1:7" ht="15">
      <c r="A35" s="17" t="s">
        <v>42</v>
      </c>
      <c r="B35" s="28">
        <v>100000</v>
      </c>
      <c r="C35" s="29">
        <f>B35/AnnualDMLusage!G5</f>
        <v>2.5445292620865136</v>
      </c>
      <c r="D35" s="17"/>
      <c r="E35" s="28">
        <v>100000</v>
      </c>
      <c r="F35" s="29">
        <f>E35/AnnualDMLusage!$G$11</f>
        <v>2.150537634408602</v>
      </c>
      <c r="G35" s="17"/>
    </row>
    <row r="36" spans="1:7" ht="15">
      <c r="A36" s="17" t="s">
        <v>43</v>
      </c>
      <c r="B36" s="28">
        <v>80000</v>
      </c>
      <c r="C36" s="29">
        <f>B36/AnnualDMLusage!$G$5</f>
        <v>2.0356234096692107</v>
      </c>
      <c r="D36" s="17"/>
      <c r="E36" s="28">
        <v>80000</v>
      </c>
      <c r="F36" s="29">
        <f>E36/AnnualDMLusage!$G$11</f>
        <v>1.7204301075268817</v>
      </c>
      <c r="G36" s="17"/>
    </row>
    <row r="37" spans="1:7" ht="15">
      <c r="A37" s="17" t="s">
        <v>44</v>
      </c>
      <c r="B37" s="28">
        <v>50000</v>
      </c>
      <c r="C37" s="29">
        <f>B37/AnnualDMLusage!$G$5</f>
        <v>1.2722646310432568</v>
      </c>
      <c r="D37" s="17"/>
      <c r="E37" s="28">
        <v>50000</v>
      </c>
      <c r="F37" s="29">
        <f>E37/AnnualDMLusage!$G$11</f>
        <v>1.075268817204301</v>
      </c>
      <c r="G37" s="17"/>
    </row>
    <row r="38" spans="1:7" ht="15">
      <c r="A38" s="17" t="s">
        <v>45</v>
      </c>
      <c r="B38" s="28">
        <v>25000</v>
      </c>
      <c r="C38" s="29">
        <f>B38/AnnualDMLusage!$G$5</f>
        <v>0.63613231552162841</v>
      </c>
      <c r="D38" s="17"/>
      <c r="E38" s="28">
        <v>25000</v>
      </c>
      <c r="F38" s="29">
        <f>E38/AnnualDMLusage!$G$11</f>
        <v>0.5376344086021505</v>
      </c>
      <c r="G38" s="17"/>
    </row>
    <row r="39" spans="1:7" ht="15">
      <c r="A39" s="17" t="s">
        <v>46</v>
      </c>
      <c r="B39" s="28">
        <v>30000</v>
      </c>
      <c r="C39" s="29">
        <f>B39/AnnualDMLusage!$G$5</f>
        <v>0.76335877862595403</v>
      </c>
      <c r="D39" s="17"/>
      <c r="E39" s="28">
        <v>30000</v>
      </c>
      <c r="F39" s="29">
        <f>E39/AnnualDMLusage!$G$11</f>
        <v>0.64516129032258063</v>
      </c>
      <c r="G39" s="17"/>
    </row>
    <row r="40" spans="1:7" ht="15">
      <c r="A40" s="17" t="s">
        <v>47</v>
      </c>
      <c r="B40" s="30">
        <v>285000</v>
      </c>
      <c r="C40" s="31">
        <v>7.31</v>
      </c>
      <c r="D40" s="17"/>
      <c r="E40" s="30">
        <v>285000</v>
      </c>
      <c r="F40" s="31">
        <v>6.13</v>
      </c>
      <c r="G40" s="17"/>
    </row>
    <row r="41" spans="1:7" ht="15">
      <c r="A41" s="17"/>
      <c r="B41" s="17"/>
      <c r="C41" s="17"/>
      <c r="D41" s="17"/>
    </row>
    <row r="42" spans="1:7" ht="15">
      <c r="A42" s="17"/>
      <c r="B42" s="21" t="s">
        <v>3</v>
      </c>
      <c r="C42" s="26"/>
      <c r="D42" s="26"/>
      <c r="E42" s="21" t="s">
        <v>4</v>
      </c>
    </row>
    <row r="43" spans="1:7" ht="15">
      <c r="A43" s="17" t="s">
        <v>48</v>
      </c>
      <c r="B43" s="27" t="s">
        <v>33</v>
      </c>
      <c r="C43" s="82" t="s">
        <v>41</v>
      </c>
      <c r="D43" s="86"/>
      <c r="E43" s="27" t="s">
        <v>33</v>
      </c>
      <c r="F43" s="82" t="s">
        <v>41</v>
      </c>
      <c r="G43" s="86"/>
    </row>
    <row r="44" spans="1:7" ht="15">
      <c r="A44" s="17" t="s">
        <v>49</v>
      </c>
      <c r="B44" s="28">
        <v>100000</v>
      </c>
      <c r="C44" s="29">
        <f>B44/AnnualDMLusage!$G$5</f>
        <v>2.5445292620865136</v>
      </c>
      <c r="D44" s="17"/>
      <c r="E44" s="28">
        <v>115000</v>
      </c>
      <c r="F44" s="29">
        <f>E44/AnnualDMLusage!$G$11</f>
        <v>2.4731182795698925</v>
      </c>
      <c r="G44" s="17"/>
    </row>
    <row r="45" spans="1:7" ht="15">
      <c r="A45" s="17" t="s">
        <v>50</v>
      </c>
      <c r="B45" s="32">
        <v>75000</v>
      </c>
      <c r="C45" s="29">
        <f>B45/AnnualDMLusage!$G$5</f>
        <v>1.9083969465648851</v>
      </c>
      <c r="D45" s="17"/>
      <c r="E45" s="32">
        <v>90000</v>
      </c>
      <c r="F45" s="29">
        <f>E45/AnnualDMLusage!$G$11</f>
        <v>1.935483870967742</v>
      </c>
      <c r="G45" s="17"/>
    </row>
    <row r="46" spans="1:7" ht="15">
      <c r="A46" s="17" t="s">
        <v>51</v>
      </c>
      <c r="B46" s="32">
        <v>50000</v>
      </c>
      <c r="C46" s="29">
        <f>B46/AnnualDMLusage!$G$5</f>
        <v>1.2722646310432568</v>
      </c>
      <c r="D46" s="17"/>
      <c r="E46" s="32">
        <v>60000</v>
      </c>
      <c r="F46" s="29">
        <f>E46/AnnualDMLusage!$G$11</f>
        <v>1.2903225806451613</v>
      </c>
      <c r="G46" s="17"/>
    </row>
    <row r="47" spans="1:7" ht="15">
      <c r="A47" s="17" t="s">
        <v>52</v>
      </c>
      <c r="B47" s="32">
        <v>50000</v>
      </c>
      <c r="C47" s="29">
        <f>B47/AnnualDMLusage!$G$5</f>
        <v>1.2722646310432568</v>
      </c>
      <c r="D47" s="17"/>
      <c r="E47" s="32">
        <v>65000</v>
      </c>
      <c r="F47" s="29">
        <f>E47/AnnualDMLusage!$G$11</f>
        <v>1.3978494623655915</v>
      </c>
      <c r="G47" s="17"/>
    </row>
    <row r="48" spans="1:7" ht="15">
      <c r="A48" s="17" t="s">
        <v>46</v>
      </c>
      <c r="B48" s="32">
        <v>25000</v>
      </c>
      <c r="C48" s="29">
        <f>B48/AnnualDMLusage!$G$5</f>
        <v>0.63613231552162841</v>
      </c>
      <c r="D48" s="17"/>
      <c r="E48" s="32">
        <v>30000</v>
      </c>
      <c r="F48" s="29">
        <f>E48/AnnualDMLusage!$G$11</f>
        <v>0.64516129032258063</v>
      </c>
      <c r="G48" s="17"/>
    </row>
    <row r="49" spans="1:7" ht="15">
      <c r="A49" s="17" t="s">
        <v>53</v>
      </c>
      <c r="B49" s="30">
        <v>300000</v>
      </c>
      <c r="C49" s="31">
        <v>7.69</v>
      </c>
      <c r="D49" s="17"/>
      <c r="E49" s="30">
        <v>360000</v>
      </c>
      <c r="F49" s="31">
        <v>7.74</v>
      </c>
      <c r="G49" s="17"/>
    </row>
    <row r="51" spans="1:7" ht="15">
      <c r="A51" s="17" t="s">
        <v>54</v>
      </c>
      <c r="B51" s="27" t="s">
        <v>55</v>
      </c>
      <c r="C51" s="27" t="s">
        <v>56</v>
      </c>
    </row>
    <row r="52" spans="1:7" ht="15">
      <c r="A52" s="17" t="s">
        <v>57</v>
      </c>
      <c r="B52" s="22">
        <v>0.05</v>
      </c>
      <c r="C52" s="28">
        <v>150000</v>
      </c>
    </row>
    <row r="53" spans="1:7" ht="15">
      <c r="A53" s="17" t="s">
        <v>58</v>
      </c>
      <c r="B53" s="22">
        <v>7.4999999999999997E-2</v>
      </c>
      <c r="C53" s="32">
        <v>50000</v>
      </c>
    </row>
    <row r="54" spans="1:7" ht="15">
      <c r="A54" s="17" t="s">
        <v>59</v>
      </c>
      <c r="B54" s="22">
        <v>0.03</v>
      </c>
      <c r="C54" s="32">
        <v>250000</v>
      </c>
    </row>
    <row r="55" spans="1:7" ht="15">
      <c r="A55" s="17" t="s">
        <v>60</v>
      </c>
      <c r="B55" s="22">
        <v>0.02</v>
      </c>
      <c r="C55" s="32">
        <v>150000</v>
      </c>
    </row>
    <row r="56" spans="1:7" ht="15">
      <c r="A56" s="17" t="s">
        <v>61</v>
      </c>
      <c r="B56" s="22">
        <v>0.05</v>
      </c>
      <c r="C56" s="32">
        <v>50000</v>
      </c>
    </row>
    <row r="57" spans="1:7" ht="15">
      <c r="A57" s="17" t="s">
        <v>62</v>
      </c>
      <c r="B57" s="24">
        <v>0.22500000000000001</v>
      </c>
      <c r="C57" s="30">
        <v>650000</v>
      </c>
    </row>
    <row r="59" spans="1:7" ht="13.15">
      <c r="A59" s="19" t="s">
        <v>63</v>
      </c>
    </row>
    <row r="60" spans="1:7" ht="13.15">
      <c r="A60" s="19" t="s">
        <v>64</v>
      </c>
    </row>
    <row r="61" spans="1:7" ht="13.15">
      <c r="A61" s="19" t="s">
        <v>65</v>
      </c>
    </row>
    <row r="62" spans="1:7" ht="13.15">
      <c r="A62" s="19" t="s">
        <v>66</v>
      </c>
    </row>
    <row r="63" spans="1:7" ht="13.15">
      <c r="A63" s="19" t="s">
        <v>67</v>
      </c>
    </row>
    <row r="64" spans="1:7" ht="13.15">
      <c r="A64" s="19" t="s">
        <v>68</v>
      </c>
    </row>
    <row r="65" spans="1:1" ht="13.15">
      <c r="A65" s="19" t="s">
        <v>69</v>
      </c>
    </row>
    <row r="66" spans="1:1" ht="13.15">
      <c r="A66" s="19" t="s">
        <v>70</v>
      </c>
    </row>
    <row r="67" spans="1:1" ht="13.15">
      <c r="A67" s="19" t="s">
        <v>71</v>
      </c>
    </row>
    <row r="68" spans="1:1" ht="15.75" customHeight="1">
      <c r="A68" s="18" t="s">
        <v>72</v>
      </c>
    </row>
  </sheetData>
  <mergeCells count="5">
    <mergeCell ref="A1:C1"/>
    <mergeCell ref="J4:K4"/>
    <mergeCell ref="N4:O4"/>
    <mergeCell ref="C43:D43"/>
    <mergeCell ref="F43:G43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W1000"/>
  <sheetViews>
    <sheetView workbookViewId="0">
      <selection activeCell="F19" sqref="F19"/>
    </sheetView>
  </sheetViews>
  <sheetFormatPr defaultColWidth="14.28515625" defaultRowHeight="15.75" customHeight="1"/>
  <cols>
    <col min="4" max="5" width="17.28515625" bestFit="1" customWidth="1"/>
    <col min="6" max="6" width="18.7109375" bestFit="1" customWidth="1"/>
    <col min="7" max="7" width="17.5703125" bestFit="1" customWidth="1"/>
  </cols>
  <sheetData>
    <row r="1" spans="1:23" ht="22.15">
      <c r="A1" s="84" t="s">
        <v>0</v>
      </c>
      <c r="B1" s="85"/>
      <c r="C1" s="8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5">
      <c r="A2" s="17" t="s">
        <v>119</v>
      </c>
      <c r="B2" s="18"/>
      <c r="C2" s="1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5">
      <c r="A3" s="17" t="s">
        <v>2</v>
      </c>
      <c r="B3" s="18"/>
      <c r="C3" s="1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3.15">
      <c r="A4" s="25" t="s">
        <v>3</v>
      </c>
      <c r="B4" s="25" t="s">
        <v>120</v>
      </c>
      <c r="C4" s="25" t="s">
        <v>19</v>
      </c>
      <c r="D4" s="25" t="s">
        <v>121</v>
      </c>
      <c r="E4" s="25" t="s">
        <v>122</v>
      </c>
      <c r="F4" s="25" t="s">
        <v>123</v>
      </c>
      <c r="G4" s="25" t="s">
        <v>124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3.15">
      <c r="A5" s="53" t="s">
        <v>30</v>
      </c>
      <c r="B5" s="6">
        <v>0.2</v>
      </c>
      <c r="C5" s="63">
        <v>9.4499999999999993</v>
      </c>
      <c r="D5" s="58">
        <f t="shared" ref="D5:D6" si="0">B5*C5</f>
        <v>1.89</v>
      </c>
      <c r="E5" s="6">
        <f>Assumptions!D9</f>
        <v>131000</v>
      </c>
      <c r="F5" s="58">
        <f>E5*D7</f>
        <v>371385</v>
      </c>
      <c r="G5" s="6">
        <f>E5*B7</f>
        <v>39300.000000000007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3.15">
      <c r="A6" s="53" t="s">
        <v>32</v>
      </c>
      <c r="B6" s="6">
        <v>0.1</v>
      </c>
      <c r="C6" s="63">
        <v>9.4499999999999993</v>
      </c>
      <c r="D6" s="58">
        <f t="shared" si="0"/>
        <v>0.94499999999999995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3.15">
      <c r="A7" s="25" t="s">
        <v>33</v>
      </c>
      <c r="B7" s="13">
        <f>B5+B6</f>
        <v>0.30000000000000004</v>
      </c>
      <c r="C7" s="6"/>
      <c r="D7" s="75">
        <f>D5+D6</f>
        <v>2.835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3.15">
      <c r="A8" s="2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3.15">
      <c r="A10" s="25" t="s">
        <v>4</v>
      </c>
      <c r="B10" s="25" t="s">
        <v>120</v>
      </c>
      <c r="C10" s="25" t="s">
        <v>19</v>
      </c>
      <c r="D10" s="25" t="s">
        <v>125</v>
      </c>
      <c r="E10" s="25" t="s">
        <v>122</v>
      </c>
      <c r="F10" s="25" t="s">
        <v>126</v>
      </c>
      <c r="G10" s="25" t="s">
        <v>127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3.15">
      <c r="A11" s="53" t="s">
        <v>32</v>
      </c>
      <c r="B11" s="6">
        <v>0.15</v>
      </c>
      <c r="C11" s="63">
        <v>9.4499999999999993</v>
      </c>
      <c r="D11" s="58">
        <f t="shared" ref="D11:D12" si="1">B11*C11</f>
        <v>1.4174999999999998</v>
      </c>
      <c r="E11" s="6">
        <v>155000</v>
      </c>
      <c r="F11" s="58">
        <f>E11*D13</f>
        <v>439424.99999999994</v>
      </c>
      <c r="G11" s="6">
        <f>E11*B13</f>
        <v>46500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3.15">
      <c r="A12" s="53" t="s">
        <v>34</v>
      </c>
      <c r="B12" s="13">
        <v>0.15</v>
      </c>
      <c r="C12" s="63">
        <v>9.4499999999999993</v>
      </c>
      <c r="D12" s="58">
        <f t="shared" si="1"/>
        <v>1.4174999999999998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3.15">
      <c r="A13" s="25" t="s">
        <v>33</v>
      </c>
      <c r="B13" s="6">
        <f>B11+B12</f>
        <v>0.3</v>
      </c>
      <c r="C13" s="6"/>
      <c r="D13" s="75">
        <f>D11+D12</f>
        <v>2.8349999999999995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2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2.7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2.7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2.75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2.7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2.7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2.7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2.7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2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12.7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2.7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2.7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12.7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12.7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12.7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12.7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12.7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12.7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12.7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12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2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2.7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2.7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2.7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12.7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12.7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2.7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2.7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12.7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12.7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12.7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12.7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12.7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12.7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12.7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12.7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12.7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12.7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12.7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12.7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2.7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12.7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12.7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12.7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12.7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12.7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12.7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12.7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12.7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12.7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12.7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12.7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12.7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12.7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12.7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2.7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12.7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12.7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12.7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12.7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2.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12.7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12.7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12.7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12.7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12.7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12.7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12.7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12.7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12.7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2.7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12.7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12.7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12.7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12.7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12.7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12.7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12.7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12.7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12.7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12.7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12.7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2.7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2.7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2.7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2.7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2.7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2.7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2.7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2.7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2.7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2.7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2.7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2.7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2.7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2.7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12.7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25"/>
  <sheetViews>
    <sheetView topLeftCell="A4" workbookViewId="0">
      <pane xSplit="1" topLeftCell="B1" activePane="topRight" state="frozen"/>
      <selection pane="topRight" activeCell="B21" activeCellId="2" sqref="B6:M6 B9:M9 B21:M21"/>
      <selection activeCell="A4" sqref="A4"/>
    </sheetView>
  </sheetViews>
  <sheetFormatPr defaultColWidth="14.28515625" defaultRowHeight="15.75" customHeight="1"/>
  <cols>
    <col min="4" max="4" width="11.28515625" customWidth="1"/>
    <col min="5" max="5" width="18.28515625" customWidth="1"/>
    <col min="6" max="6" width="12.7109375" customWidth="1"/>
  </cols>
  <sheetData>
    <row r="1" spans="1:21" ht="22.15">
      <c r="A1" s="84" t="s">
        <v>0</v>
      </c>
      <c r="B1" s="85"/>
      <c r="C1" s="85"/>
    </row>
    <row r="2" spans="1:21" ht="15">
      <c r="A2" s="17" t="s">
        <v>128</v>
      </c>
      <c r="B2" s="18"/>
      <c r="C2" s="18"/>
    </row>
    <row r="3" spans="1:21" ht="15.75" customHeight="1">
      <c r="A3" s="17" t="s">
        <v>2</v>
      </c>
      <c r="B3" s="18"/>
      <c r="C3" s="18"/>
    </row>
    <row r="4" spans="1:21" ht="13.15">
      <c r="B4" s="19" t="s">
        <v>3</v>
      </c>
      <c r="C4" s="19" t="s">
        <v>129</v>
      </c>
      <c r="D4" s="25">
        <f>AnnualDMLusage!G5</f>
        <v>39300.000000000007</v>
      </c>
      <c r="E4" s="19" t="s">
        <v>130</v>
      </c>
      <c r="F4" s="54">
        <f>AnnualDMLusage!F5</f>
        <v>371385</v>
      </c>
    </row>
    <row r="5" spans="1:21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ht="15.75" customHeight="1">
      <c r="A6" s="19" t="s">
        <v>131</v>
      </c>
      <c r="B6" s="19" t="s">
        <v>78</v>
      </c>
      <c r="C6" s="19" t="s">
        <v>79</v>
      </c>
      <c r="D6" s="19" t="s">
        <v>80</v>
      </c>
      <c r="E6" s="19" t="s">
        <v>81</v>
      </c>
      <c r="F6" s="19" t="s">
        <v>14</v>
      </c>
      <c r="G6" s="19" t="s">
        <v>16</v>
      </c>
      <c r="H6" s="19" t="s">
        <v>21</v>
      </c>
      <c r="I6" s="19" t="s">
        <v>82</v>
      </c>
      <c r="J6" s="19" t="s">
        <v>83</v>
      </c>
      <c r="K6" s="19" t="s">
        <v>84</v>
      </c>
      <c r="L6" s="19" t="s">
        <v>85</v>
      </c>
      <c r="M6" s="19" t="s">
        <v>86</v>
      </c>
      <c r="N6" s="19" t="s">
        <v>33</v>
      </c>
      <c r="O6" s="83"/>
      <c r="P6" s="87"/>
      <c r="Q6" s="3"/>
      <c r="S6" s="83"/>
      <c r="T6" s="87"/>
    </row>
    <row r="7" spans="1:21" ht="15.75" customHeight="1">
      <c r="A7" s="52" t="s">
        <v>30</v>
      </c>
      <c r="B7" s="57">
        <f t="shared" ref="B7:N7" si="0">B9/3</f>
        <v>262.00000000000006</v>
      </c>
      <c r="C7" s="57">
        <f t="shared" si="0"/>
        <v>262.00000000000006</v>
      </c>
      <c r="D7" s="57">
        <f t="shared" si="0"/>
        <v>393.00000000000006</v>
      </c>
      <c r="E7" s="57">
        <f t="shared" si="0"/>
        <v>524.00000000000011</v>
      </c>
      <c r="F7" s="57">
        <f t="shared" si="0"/>
        <v>917.00000000000034</v>
      </c>
      <c r="G7" s="57">
        <f t="shared" si="0"/>
        <v>1048.0000000000002</v>
      </c>
      <c r="H7" s="57">
        <f t="shared" si="0"/>
        <v>1179.0000000000002</v>
      </c>
      <c r="I7" s="57">
        <f t="shared" si="0"/>
        <v>1310.0000000000002</v>
      </c>
      <c r="J7" s="57">
        <f t="shared" si="0"/>
        <v>1441.0000000000002</v>
      </c>
      <c r="K7" s="57">
        <f t="shared" si="0"/>
        <v>1834.0000000000007</v>
      </c>
      <c r="L7" s="57">
        <f t="shared" si="0"/>
        <v>1965.0000000000002</v>
      </c>
      <c r="M7" s="57">
        <f t="shared" si="0"/>
        <v>1965.0000000000002</v>
      </c>
      <c r="N7" s="57">
        <f t="shared" si="0"/>
        <v>13100.000000000002</v>
      </c>
      <c r="O7" s="3"/>
      <c r="P7" s="2"/>
      <c r="Q7" s="2"/>
      <c r="S7" s="2"/>
      <c r="T7" s="2"/>
      <c r="U7" s="2"/>
    </row>
    <row r="8" spans="1:21" ht="15.75" customHeight="1">
      <c r="A8" s="52" t="s">
        <v>32</v>
      </c>
      <c r="B8" s="49">
        <f t="shared" ref="B8:N8" si="1">B9*2/3</f>
        <v>524.00000000000011</v>
      </c>
      <c r="C8" s="49">
        <f t="shared" si="1"/>
        <v>524.00000000000011</v>
      </c>
      <c r="D8" s="49">
        <f t="shared" si="1"/>
        <v>786.00000000000011</v>
      </c>
      <c r="E8" s="49">
        <f t="shared" si="1"/>
        <v>1048.0000000000002</v>
      </c>
      <c r="F8" s="49">
        <f t="shared" si="1"/>
        <v>1834.0000000000007</v>
      </c>
      <c r="G8" s="49">
        <f t="shared" si="1"/>
        <v>2096.0000000000005</v>
      </c>
      <c r="H8" s="49">
        <f t="shared" si="1"/>
        <v>2358.0000000000005</v>
      </c>
      <c r="I8" s="49">
        <f t="shared" si="1"/>
        <v>2620.0000000000005</v>
      </c>
      <c r="J8" s="49">
        <f t="shared" si="1"/>
        <v>2882.0000000000005</v>
      </c>
      <c r="K8" s="49">
        <f t="shared" si="1"/>
        <v>3668.0000000000014</v>
      </c>
      <c r="L8" s="49">
        <f t="shared" si="1"/>
        <v>3930.0000000000005</v>
      </c>
      <c r="M8" s="49">
        <f t="shared" si="1"/>
        <v>3930.0000000000005</v>
      </c>
      <c r="N8" s="49">
        <f t="shared" si="1"/>
        <v>26200.000000000004</v>
      </c>
      <c r="O8" s="3"/>
      <c r="P8" s="5"/>
      <c r="Q8" s="3"/>
      <c r="R8" s="3"/>
      <c r="S8" s="3"/>
      <c r="T8" s="5"/>
      <c r="U8" s="3"/>
    </row>
    <row r="9" spans="1:21" ht="15.75" customHeight="1">
      <c r="A9" s="19" t="s">
        <v>132</v>
      </c>
      <c r="B9" s="57">
        <f>Assumptions!O6*AnnualDMLusage!G5</f>
        <v>786.00000000000011</v>
      </c>
      <c r="C9" s="57">
        <f>Assumptions!O7 *AnnualDMLusage!G5</f>
        <v>786.00000000000011</v>
      </c>
      <c r="D9" s="57">
        <f>Assumptions!O8 *AnnualDMLusage!G5</f>
        <v>1179.0000000000002</v>
      </c>
      <c r="E9" s="57">
        <f>Assumptions!O9 *AnnualDMLusage!G5</f>
        <v>1572.0000000000002</v>
      </c>
      <c r="F9" s="57">
        <f>Assumptions!O10 *AnnualDMLusage!G5</f>
        <v>2751.0000000000009</v>
      </c>
      <c r="G9" s="57">
        <f>Assumptions!O11 *AnnualDMLusage!G5</f>
        <v>3144.0000000000005</v>
      </c>
      <c r="H9" s="57">
        <f>Assumptions!O12 *AnnualDMLusage!G5</f>
        <v>3537.0000000000005</v>
      </c>
      <c r="I9" s="57">
        <f>Assumptions!O13 *AnnualDMLusage!G5</f>
        <v>3930.0000000000009</v>
      </c>
      <c r="J9" s="57">
        <f>Assumptions!O14 *AnnualDMLusage!G5</f>
        <v>4323.0000000000009</v>
      </c>
      <c r="K9" s="57">
        <f>Assumptions!O15 *AnnualDMLusage!G5</f>
        <v>5502.0000000000018</v>
      </c>
      <c r="L9" s="57">
        <f>Assumptions!O16 *AnnualDMLusage!G5</f>
        <v>5895.0000000000009</v>
      </c>
      <c r="M9" s="57">
        <f>Assumptions!O17 *AnnualDMLusage!G5</f>
        <v>5895.0000000000009</v>
      </c>
      <c r="N9" s="57">
        <f>SUM(B9:M9)</f>
        <v>39300.000000000007</v>
      </c>
      <c r="O9" s="3"/>
      <c r="P9" s="5"/>
      <c r="Q9" s="3"/>
      <c r="R9" s="3"/>
      <c r="S9" s="3"/>
      <c r="T9" s="5"/>
      <c r="U9" s="5"/>
    </row>
    <row r="10" spans="1:21" ht="15.75" customHeight="1">
      <c r="A10" s="19" t="s">
        <v>133</v>
      </c>
      <c r="N10" s="1"/>
      <c r="O10" s="3"/>
      <c r="P10" s="5"/>
      <c r="Q10" s="3"/>
      <c r="R10" s="3"/>
      <c r="S10" s="3"/>
      <c r="T10" s="5"/>
      <c r="U10" s="5"/>
    </row>
    <row r="11" spans="1:21" ht="15.75" customHeight="1">
      <c r="A11" s="52" t="s">
        <v>134</v>
      </c>
      <c r="B11" s="74">
        <f t="shared" ref="B11:M11" si="2">B13/3</f>
        <v>2475.9</v>
      </c>
      <c r="C11" s="74">
        <f t="shared" si="2"/>
        <v>2475.9</v>
      </c>
      <c r="D11" s="74">
        <f t="shared" si="2"/>
        <v>3713.85</v>
      </c>
      <c r="E11" s="74">
        <f t="shared" si="2"/>
        <v>4951.8</v>
      </c>
      <c r="F11" s="74">
        <f t="shared" si="2"/>
        <v>8665.65</v>
      </c>
      <c r="G11" s="74">
        <f t="shared" si="2"/>
        <v>9903.6</v>
      </c>
      <c r="H11" s="74">
        <f t="shared" si="2"/>
        <v>11141.550000000001</v>
      </c>
      <c r="I11" s="74">
        <f t="shared" si="2"/>
        <v>12379.5</v>
      </c>
      <c r="J11" s="74">
        <f t="shared" si="2"/>
        <v>13617.449999999999</v>
      </c>
      <c r="K11" s="74">
        <f t="shared" si="2"/>
        <v>17331.3</v>
      </c>
      <c r="L11" s="74">
        <f t="shared" si="2"/>
        <v>18569.25</v>
      </c>
      <c r="M11" s="74">
        <f t="shared" si="2"/>
        <v>18569.25</v>
      </c>
      <c r="N11" s="74">
        <f t="shared" ref="N11:N12" si="3">SUM(B11:M11)</f>
        <v>123795</v>
      </c>
      <c r="O11" s="3"/>
      <c r="P11" s="5"/>
      <c r="Q11" s="3"/>
      <c r="R11" s="3"/>
      <c r="S11" s="3"/>
      <c r="T11" s="5"/>
      <c r="U11" s="5"/>
    </row>
    <row r="12" spans="1:21" ht="15.75" customHeight="1">
      <c r="A12" s="52" t="s">
        <v>32</v>
      </c>
      <c r="B12" s="59">
        <f t="shared" ref="B12:M12" si="4">B13*2/3</f>
        <v>4951.8</v>
      </c>
      <c r="C12" s="59">
        <f t="shared" si="4"/>
        <v>4951.8</v>
      </c>
      <c r="D12" s="59">
        <f t="shared" si="4"/>
        <v>7427.7</v>
      </c>
      <c r="E12" s="59">
        <f t="shared" si="4"/>
        <v>9903.6</v>
      </c>
      <c r="F12" s="59">
        <f t="shared" si="4"/>
        <v>17331.3</v>
      </c>
      <c r="G12" s="59">
        <f t="shared" si="4"/>
        <v>19807.2</v>
      </c>
      <c r="H12" s="59">
        <f t="shared" si="4"/>
        <v>22283.100000000002</v>
      </c>
      <c r="I12" s="59">
        <f t="shared" si="4"/>
        <v>24759</v>
      </c>
      <c r="J12" s="59">
        <f t="shared" si="4"/>
        <v>27234.899999999998</v>
      </c>
      <c r="K12" s="59">
        <f t="shared" si="4"/>
        <v>34662.6</v>
      </c>
      <c r="L12" s="59">
        <f t="shared" si="4"/>
        <v>37138.5</v>
      </c>
      <c r="M12" s="59">
        <f t="shared" si="4"/>
        <v>37138.5</v>
      </c>
      <c r="N12" s="59">
        <f t="shared" si="3"/>
        <v>247590</v>
      </c>
      <c r="O12" s="3"/>
      <c r="P12" s="5"/>
      <c r="Q12" s="3"/>
      <c r="R12" s="3"/>
      <c r="S12" s="3"/>
      <c r="T12" s="5"/>
      <c r="U12" s="5"/>
    </row>
    <row r="13" spans="1:21" ht="15.75" customHeight="1">
      <c r="A13" s="19" t="s">
        <v>135</v>
      </c>
      <c r="B13" s="74">
        <f>Assumptions!O6 *AnnualDMLusage!F5</f>
        <v>7427.7</v>
      </c>
      <c r="C13" s="74">
        <f>Assumptions!O7 *AnnualDMLusage!F5</f>
        <v>7427.7</v>
      </c>
      <c r="D13" s="74">
        <f>Assumptions!O8 *AnnualDMLusage!F5</f>
        <v>11141.55</v>
      </c>
      <c r="E13" s="74">
        <f>Assumptions!O9 *AnnualDMLusage!F5</f>
        <v>14855.4</v>
      </c>
      <c r="F13" s="74">
        <f>Assumptions!O10 *AnnualDMLusage!F5</f>
        <v>25996.95</v>
      </c>
      <c r="G13" s="74">
        <f>Assumptions!O11 *AnnualDMLusage!F5</f>
        <v>29710.799999999999</v>
      </c>
      <c r="H13" s="74">
        <f>Assumptions!O12 *AnnualDMLusage!F5</f>
        <v>33424.65</v>
      </c>
      <c r="I13" s="74">
        <f>Assumptions!O13 *AnnualDMLusage!F5</f>
        <v>37138.5</v>
      </c>
      <c r="J13" s="74">
        <f>Assumptions!O14 *AnnualDMLusage!F5</f>
        <v>40852.35</v>
      </c>
      <c r="K13" s="74">
        <f>Assumptions!O15 *AnnualDMLusage!F5</f>
        <v>51993.9</v>
      </c>
      <c r="L13" s="74">
        <f>Assumptions!O16 *AnnualDMLusage!F5</f>
        <v>55707.75</v>
      </c>
      <c r="M13" s="74">
        <f>Assumptions!O17 *AnnualDMLusage!F5</f>
        <v>55707.75</v>
      </c>
      <c r="N13" s="74">
        <f>SUM(B13:M13)</f>
        <v>371385</v>
      </c>
      <c r="O13" s="3"/>
      <c r="P13" s="5"/>
      <c r="Q13" s="3"/>
      <c r="R13" s="3"/>
      <c r="S13" s="3"/>
      <c r="T13" s="5"/>
      <c r="U13" s="5"/>
    </row>
    <row r="14" spans="1:21" ht="15.75" customHeight="1">
      <c r="A14" s="18"/>
      <c r="O14" s="3"/>
      <c r="P14" s="5"/>
      <c r="Q14" s="3"/>
      <c r="R14" s="3"/>
      <c r="S14" s="3"/>
      <c r="T14" s="5"/>
      <c r="U14" s="5"/>
    </row>
    <row r="15" spans="1:21" ht="15.75" customHeight="1">
      <c r="A15" s="18"/>
      <c r="O15" s="3"/>
      <c r="P15" s="5"/>
      <c r="Q15" s="3"/>
      <c r="R15" s="3"/>
      <c r="S15" s="3"/>
      <c r="T15" s="5"/>
      <c r="U15" s="5"/>
    </row>
    <row r="16" spans="1:21" ht="15.75" customHeight="1">
      <c r="A16" s="18"/>
      <c r="B16" s="19" t="s">
        <v>4</v>
      </c>
      <c r="C16" s="19" t="s">
        <v>136</v>
      </c>
      <c r="D16" s="25">
        <f>AnnualDMLusage!G11</f>
        <v>46500</v>
      </c>
      <c r="E16" s="19" t="s">
        <v>130</v>
      </c>
      <c r="F16" s="54">
        <f>AnnualDMLusage!F11</f>
        <v>439424.99999999994</v>
      </c>
      <c r="G16" s="18"/>
      <c r="H16" s="18"/>
      <c r="I16" s="18"/>
      <c r="J16" s="18"/>
      <c r="K16" s="18"/>
      <c r="L16" s="18"/>
      <c r="M16" s="18"/>
      <c r="N16" s="18"/>
      <c r="O16" s="3"/>
      <c r="P16" s="5"/>
      <c r="Q16" s="3"/>
      <c r="R16" s="3"/>
      <c r="S16" s="3"/>
      <c r="T16" s="5"/>
      <c r="U16" s="5"/>
    </row>
    <row r="17" spans="1:26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3"/>
      <c r="P17" s="5"/>
      <c r="Q17" s="3"/>
      <c r="R17" s="3"/>
      <c r="S17" s="3"/>
      <c r="T17" s="5"/>
      <c r="U17" s="5"/>
    </row>
    <row r="18" spans="1:26" ht="15.75" customHeight="1">
      <c r="A18" s="19" t="s">
        <v>131</v>
      </c>
      <c r="B18" s="19" t="s">
        <v>78</v>
      </c>
      <c r="C18" s="19" t="s">
        <v>79</v>
      </c>
      <c r="D18" s="19" t="s">
        <v>80</v>
      </c>
      <c r="E18" s="19" t="s">
        <v>81</v>
      </c>
      <c r="F18" s="19" t="s">
        <v>14</v>
      </c>
      <c r="G18" s="19" t="s">
        <v>16</v>
      </c>
      <c r="H18" s="19" t="s">
        <v>21</v>
      </c>
      <c r="I18" s="19" t="s">
        <v>82</v>
      </c>
      <c r="J18" s="19" t="s">
        <v>83</v>
      </c>
      <c r="K18" s="19" t="s">
        <v>84</v>
      </c>
      <c r="L18" s="19" t="s">
        <v>85</v>
      </c>
      <c r="M18" s="19" t="s">
        <v>86</v>
      </c>
      <c r="N18" s="19" t="s">
        <v>62</v>
      </c>
      <c r="O18" s="3"/>
      <c r="P18" s="5"/>
      <c r="Q18" s="3"/>
      <c r="R18" s="3"/>
      <c r="S18" s="3"/>
      <c r="T18" s="5"/>
      <c r="U18" s="5"/>
    </row>
    <row r="19" spans="1:26" ht="15.75" customHeight="1">
      <c r="A19" s="52" t="s">
        <v>32</v>
      </c>
      <c r="B19" s="57">
        <f t="shared" ref="B19:M19" si="5">B21/2</f>
        <v>2325</v>
      </c>
      <c r="C19" s="57">
        <f t="shared" si="5"/>
        <v>2325</v>
      </c>
      <c r="D19" s="57">
        <f t="shared" si="5"/>
        <v>2325</v>
      </c>
      <c r="E19" s="57">
        <f t="shared" si="5"/>
        <v>2325</v>
      </c>
      <c r="F19" s="57">
        <f t="shared" si="5"/>
        <v>1162.5</v>
      </c>
      <c r="G19" s="57">
        <f t="shared" si="5"/>
        <v>1162.5</v>
      </c>
      <c r="H19" s="57">
        <f t="shared" si="5"/>
        <v>1162.5</v>
      </c>
      <c r="I19" s="57">
        <f t="shared" si="5"/>
        <v>1162.5</v>
      </c>
      <c r="J19" s="57">
        <f t="shared" si="5"/>
        <v>1162.5</v>
      </c>
      <c r="K19" s="57">
        <f t="shared" si="5"/>
        <v>3487.5</v>
      </c>
      <c r="L19" s="57">
        <f t="shared" si="5"/>
        <v>2325</v>
      </c>
      <c r="M19" s="57">
        <f t="shared" si="5"/>
        <v>2325</v>
      </c>
      <c r="N19" s="57">
        <f t="shared" ref="N19:N21" si="6">SUM(B19:M19)</f>
        <v>23250</v>
      </c>
      <c r="O19" s="3"/>
      <c r="P19" s="5"/>
      <c r="Q19" s="3"/>
      <c r="R19" s="3"/>
      <c r="S19" s="3"/>
      <c r="T19" s="5"/>
      <c r="U19" s="5"/>
    </row>
    <row r="20" spans="1:26" ht="15.75" customHeight="1">
      <c r="A20" s="52" t="s">
        <v>34</v>
      </c>
      <c r="B20" s="49">
        <f t="shared" ref="B20:M20" si="7">B21/2</f>
        <v>2325</v>
      </c>
      <c r="C20" s="49">
        <f t="shared" si="7"/>
        <v>2325</v>
      </c>
      <c r="D20" s="49">
        <f t="shared" si="7"/>
        <v>2325</v>
      </c>
      <c r="E20" s="49">
        <f t="shared" si="7"/>
        <v>2325</v>
      </c>
      <c r="F20" s="49">
        <f t="shared" si="7"/>
        <v>1162.5</v>
      </c>
      <c r="G20" s="49">
        <f t="shared" si="7"/>
        <v>1162.5</v>
      </c>
      <c r="H20" s="49">
        <f t="shared" si="7"/>
        <v>1162.5</v>
      </c>
      <c r="I20" s="49">
        <f t="shared" si="7"/>
        <v>1162.5</v>
      </c>
      <c r="J20" s="49">
        <f t="shared" si="7"/>
        <v>1162.5</v>
      </c>
      <c r="K20" s="49">
        <f t="shared" si="7"/>
        <v>3487.5</v>
      </c>
      <c r="L20" s="49">
        <f t="shared" si="7"/>
        <v>2325</v>
      </c>
      <c r="M20" s="49">
        <f t="shared" si="7"/>
        <v>2325</v>
      </c>
      <c r="N20" s="49">
        <f t="shared" si="6"/>
        <v>23250</v>
      </c>
      <c r="O20" s="1"/>
      <c r="Q20" s="5"/>
      <c r="R20" s="3"/>
      <c r="S20" s="3"/>
      <c r="T20" s="5"/>
      <c r="U20" s="5"/>
    </row>
    <row r="21" spans="1:26" ht="13.15">
      <c r="A21" s="19" t="s">
        <v>132</v>
      </c>
      <c r="B21" s="57">
        <f>Assumptions!P6*AnnualDMLusage!G11</f>
        <v>4650</v>
      </c>
      <c r="C21" s="57">
        <f>Assumptions!P7*AnnualDMLusage!G11</f>
        <v>4650</v>
      </c>
      <c r="D21" s="57">
        <f>Assumptions!P8*AnnualDMLusage!G11</f>
        <v>4650</v>
      </c>
      <c r="E21" s="57">
        <f>Assumptions!P9*AnnualDMLusage!G11</f>
        <v>4650</v>
      </c>
      <c r="F21" s="57">
        <f>Assumptions!P10*AnnualDMLusage!G11</f>
        <v>2325</v>
      </c>
      <c r="G21" s="57">
        <f>Assumptions!P11*AnnualDMLusage!G11</f>
        <v>2325</v>
      </c>
      <c r="H21" s="57">
        <f>Assumptions!P12*AnnualDMLusage!G11</f>
        <v>2325</v>
      </c>
      <c r="I21" s="57">
        <f>Assumptions!P13*AnnualDMLusage!G11</f>
        <v>2325</v>
      </c>
      <c r="J21" s="57">
        <f>Assumptions!P14*AnnualDMLusage!G11</f>
        <v>2325</v>
      </c>
      <c r="K21" s="57">
        <f>Assumptions!P15*AnnualDMLusage!G11</f>
        <v>6975</v>
      </c>
      <c r="L21" s="57">
        <f>Assumptions!P16*AnnualDMLusage!G11</f>
        <v>4650</v>
      </c>
      <c r="M21" s="57">
        <f>Assumptions!P17*AnnualDMLusage!G11</f>
        <v>4650</v>
      </c>
      <c r="N21" s="57">
        <f t="shared" si="6"/>
        <v>46500</v>
      </c>
      <c r="O21" s="1"/>
    </row>
    <row r="22" spans="1:26" ht="13.15">
      <c r="A22" s="19" t="s">
        <v>133</v>
      </c>
      <c r="O22" s="1"/>
    </row>
    <row r="23" spans="1:26" ht="13.15">
      <c r="A23" s="52" t="s">
        <v>32</v>
      </c>
      <c r="B23" s="74">
        <f t="shared" ref="B23:M23" si="8">B25/2</f>
        <v>21971.25</v>
      </c>
      <c r="C23" s="74">
        <f t="shared" si="8"/>
        <v>21971.25</v>
      </c>
      <c r="D23" s="74">
        <f t="shared" si="8"/>
        <v>21971.25</v>
      </c>
      <c r="E23" s="74">
        <f t="shared" si="8"/>
        <v>21971.25</v>
      </c>
      <c r="F23" s="74">
        <f t="shared" si="8"/>
        <v>10985.625</v>
      </c>
      <c r="G23" s="74">
        <f t="shared" si="8"/>
        <v>10985.625</v>
      </c>
      <c r="H23" s="74">
        <f t="shared" si="8"/>
        <v>10985.625</v>
      </c>
      <c r="I23" s="74">
        <f t="shared" si="8"/>
        <v>10985.625</v>
      </c>
      <c r="J23" s="74">
        <f t="shared" si="8"/>
        <v>10985.625</v>
      </c>
      <c r="K23" s="74">
        <f t="shared" si="8"/>
        <v>32956.874999999993</v>
      </c>
      <c r="L23" s="74">
        <f t="shared" si="8"/>
        <v>21971.25</v>
      </c>
      <c r="M23" s="74">
        <f t="shared" si="8"/>
        <v>21971.25</v>
      </c>
      <c r="N23" s="74">
        <f t="shared" ref="N23:N24" si="9">SUM(B23:M23)</f>
        <v>219712.5</v>
      </c>
      <c r="O23" s="1"/>
    </row>
    <row r="24" spans="1:26" ht="13.15">
      <c r="A24" s="52" t="s">
        <v>34</v>
      </c>
      <c r="B24" s="59">
        <f t="shared" ref="B24:M24" si="10">B25/2</f>
        <v>21971.25</v>
      </c>
      <c r="C24" s="59">
        <f t="shared" si="10"/>
        <v>21971.25</v>
      </c>
      <c r="D24" s="59">
        <f t="shared" si="10"/>
        <v>21971.25</v>
      </c>
      <c r="E24" s="59">
        <f t="shared" si="10"/>
        <v>21971.25</v>
      </c>
      <c r="F24" s="59">
        <f t="shared" si="10"/>
        <v>10985.625</v>
      </c>
      <c r="G24" s="59">
        <f t="shared" si="10"/>
        <v>10985.625</v>
      </c>
      <c r="H24" s="59">
        <f t="shared" si="10"/>
        <v>10985.625</v>
      </c>
      <c r="I24" s="59">
        <f t="shared" si="10"/>
        <v>10985.625</v>
      </c>
      <c r="J24" s="59">
        <f t="shared" si="10"/>
        <v>10985.625</v>
      </c>
      <c r="K24" s="59">
        <f t="shared" si="10"/>
        <v>32956.874999999993</v>
      </c>
      <c r="L24" s="59">
        <f t="shared" si="10"/>
        <v>21971.25</v>
      </c>
      <c r="M24" s="59">
        <f t="shared" si="10"/>
        <v>21971.25</v>
      </c>
      <c r="N24" s="59">
        <f t="shared" si="9"/>
        <v>219712.5</v>
      </c>
      <c r="O24" s="1"/>
    </row>
    <row r="25" spans="1:26" ht="15.75" customHeight="1">
      <c r="A25" s="54" t="s">
        <v>135</v>
      </c>
      <c r="B25" s="74">
        <f>AnnualDMLusage!$F$11*Assumptions!P6</f>
        <v>43942.5</v>
      </c>
      <c r="C25" s="74">
        <f>AnnualDMLusage!$F$11*Assumptions!P7</f>
        <v>43942.5</v>
      </c>
      <c r="D25" s="74">
        <f>AnnualDMLusage!$F$11*Assumptions!P8</f>
        <v>43942.5</v>
      </c>
      <c r="E25" s="74">
        <f>AnnualDMLusage!$F$11*Assumptions!P9</f>
        <v>43942.5</v>
      </c>
      <c r="F25" s="74">
        <f>AnnualDMLusage!$F$11*Assumptions!P10</f>
        <v>21971.25</v>
      </c>
      <c r="G25" s="74">
        <f>AnnualDMLusage!$F$11*Assumptions!P11</f>
        <v>21971.25</v>
      </c>
      <c r="H25" s="74">
        <f>AnnualDMLusage!$F$11*Assumptions!P12</f>
        <v>21971.25</v>
      </c>
      <c r="I25" s="74">
        <f>AnnualDMLusage!$F$11*Assumptions!P13</f>
        <v>21971.25</v>
      </c>
      <c r="J25" s="74">
        <f>AnnualDMLusage!$F$11*Assumptions!P14</f>
        <v>21971.25</v>
      </c>
      <c r="K25" s="74">
        <f>AnnualDMLusage!$F$11*Assumptions!P15</f>
        <v>65913.749999999985</v>
      </c>
      <c r="L25" s="74">
        <f>AnnualDMLusage!$F$11*Assumptions!P16</f>
        <v>43942.5</v>
      </c>
      <c r="M25" s="74">
        <f>AnnualDMLusage!$F$11*Assumptions!P17</f>
        <v>43942.5</v>
      </c>
      <c r="N25" s="74">
        <f>AnnualDMLusage!$F$11</f>
        <v>439424.99999999994</v>
      </c>
      <c r="O25" s="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</sheetData>
  <mergeCells count="3">
    <mergeCell ref="O6:P6"/>
    <mergeCell ref="S6:T6"/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P24"/>
  <sheetViews>
    <sheetView topLeftCell="A4" workbookViewId="0">
      <selection activeCell="C9" sqref="C9"/>
    </sheetView>
  </sheetViews>
  <sheetFormatPr defaultColWidth="14.28515625" defaultRowHeight="15.75" customHeight="1"/>
  <cols>
    <col min="4" max="4" width="2.85546875" customWidth="1"/>
    <col min="5" max="5" width="3" customWidth="1"/>
    <col min="12" max="12" width="2.85546875" customWidth="1"/>
    <col min="13" max="13" width="3" customWidth="1"/>
  </cols>
  <sheetData>
    <row r="1" spans="1:16" ht="15.75" customHeight="1">
      <c r="A1" s="84" t="s">
        <v>0</v>
      </c>
      <c r="B1" s="85"/>
      <c r="C1" s="85"/>
      <c r="H1" s="1"/>
    </row>
    <row r="2" spans="1:16" ht="15.75" customHeight="1">
      <c r="A2" s="17" t="s">
        <v>137</v>
      </c>
      <c r="B2" s="18"/>
      <c r="C2" s="18"/>
      <c r="F2" s="1"/>
      <c r="G2" s="1"/>
      <c r="H2" s="1"/>
    </row>
    <row r="3" spans="1:16" ht="15">
      <c r="A3" s="17" t="s">
        <v>2</v>
      </c>
      <c r="B3" s="18"/>
      <c r="C3" s="18"/>
      <c r="D3" s="1"/>
      <c r="E3" s="1"/>
      <c r="F3" s="1"/>
      <c r="G3" s="1"/>
      <c r="H3" s="1"/>
    </row>
    <row r="4" spans="1:16" ht="15.75" customHeight="1">
      <c r="A4" s="1"/>
      <c r="B4" s="1"/>
      <c r="C4" s="1"/>
      <c r="D4" s="1"/>
      <c r="E4" s="1"/>
      <c r="F4" s="88" t="s">
        <v>138</v>
      </c>
      <c r="G4" s="87"/>
      <c r="H4" s="87"/>
      <c r="N4" s="88" t="s">
        <v>139</v>
      </c>
      <c r="O4" s="87"/>
      <c r="P4" s="87"/>
    </row>
    <row r="5" spans="1:16" ht="13.15">
      <c r="A5" s="1"/>
      <c r="B5" s="1"/>
      <c r="C5" s="1"/>
      <c r="D5" s="1"/>
      <c r="E5" s="1"/>
      <c r="F5" s="1"/>
      <c r="G5" s="15" t="s">
        <v>140</v>
      </c>
      <c r="H5" s="1"/>
      <c r="N5" s="1"/>
      <c r="O5" s="15" t="s">
        <v>140</v>
      </c>
      <c r="P5" s="1"/>
    </row>
    <row r="6" spans="1:16" ht="12.75">
      <c r="A6" s="1"/>
      <c r="B6" s="1"/>
      <c r="C6" s="1"/>
      <c r="D6" s="1"/>
      <c r="E6" s="1"/>
      <c r="F6" s="1"/>
      <c r="G6" s="1"/>
      <c r="H6" s="1"/>
    </row>
    <row r="7" spans="1:16" ht="13.15">
      <c r="A7" s="14"/>
      <c r="B7" s="14"/>
      <c r="C7" s="14"/>
      <c r="D7" s="14"/>
      <c r="E7" s="14"/>
      <c r="F7" s="16" t="s">
        <v>3</v>
      </c>
      <c r="G7" s="1"/>
      <c r="H7" s="1"/>
      <c r="N7" s="16" t="s">
        <v>4</v>
      </c>
    </row>
    <row r="8" spans="1:16" ht="13.15">
      <c r="A8" s="14" t="s">
        <v>141</v>
      </c>
      <c r="F8" s="37"/>
      <c r="G8" s="37"/>
      <c r="H8" s="1"/>
      <c r="I8" s="14" t="s">
        <v>141</v>
      </c>
    </row>
    <row r="9" spans="1:16" ht="13.15">
      <c r="A9" s="14" t="s">
        <v>49</v>
      </c>
      <c r="F9" s="67">
        <f>Assumptions!$D$9*(Assumptions!$D$17+Assumptions!$D$18)*Assumptions!C44</f>
        <v>100000</v>
      </c>
      <c r="G9" s="68"/>
      <c r="H9" s="63"/>
      <c r="I9" s="69" t="s">
        <v>49</v>
      </c>
      <c r="J9" s="41"/>
      <c r="K9" s="41"/>
      <c r="L9" s="41"/>
      <c r="M9" s="41"/>
      <c r="N9" s="67">
        <f>Assumptions!F44*(Assumptions!$G$18+Assumptions!$G$19)*Assumptions!$G$9</f>
        <v>115000</v>
      </c>
      <c r="O9" s="68"/>
    </row>
    <row r="10" spans="1:16" ht="13.15">
      <c r="A10" s="14" t="s">
        <v>50</v>
      </c>
      <c r="F10" s="67">
        <f>Assumptions!$D$9*(Assumptions!$D$17+Assumptions!$D$18)*Assumptions!C45</f>
        <v>75000</v>
      </c>
      <c r="G10" s="68"/>
      <c r="H10" s="63"/>
      <c r="I10" s="69" t="s">
        <v>50</v>
      </c>
      <c r="J10" s="41"/>
      <c r="K10" s="41"/>
      <c r="L10" s="41"/>
      <c r="M10" s="41"/>
      <c r="N10" s="67">
        <f>Assumptions!F45*(Assumptions!$G$18+Assumptions!$G$19)*Assumptions!$G$9</f>
        <v>90000</v>
      </c>
      <c r="O10" s="68"/>
    </row>
    <row r="11" spans="1:16" ht="13.15">
      <c r="A11" s="14" t="s">
        <v>51</v>
      </c>
      <c r="F11" s="67">
        <f>Assumptions!$D$9*(Assumptions!$D$17+Assumptions!$D$18)*Assumptions!C46</f>
        <v>50000</v>
      </c>
      <c r="G11" s="68"/>
      <c r="H11" s="63"/>
      <c r="I11" s="69" t="s">
        <v>51</v>
      </c>
      <c r="J11" s="41"/>
      <c r="K11" s="41"/>
      <c r="L11" s="41"/>
      <c r="M11" s="41"/>
      <c r="N11" s="67">
        <f>Assumptions!F46*(Assumptions!$G$18+Assumptions!$G$19)*Assumptions!$G$9</f>
        <v>60000</v>
      </c>
      <c r="O11" s="68"/>
    </row>
    <row r="12" spans="1:16" ht="13.15">
      <c r="A12" s="14" t="s">
        <v>52</v>
      </c>
      <c r="F12" s="67">
        <f>Assumptions!$D$9*(Assumptions!$D$17+Assumptions!$D$18)*Assumptions!C47</f>
        <v>50000</v>
      </c>
      <c r="G12" s="68"/>
      <c r="H12" s="63"/>
      <c r="I12" s="69" t="s">
        <v>52</v>
      </c>
      <c r="J12" s="41"/>
      <c r="K12" s="41"/>
      <c r="L12" s="41"/>
      <c r="M12" s="41"/>
      <c r="N12" s="67">
        <f>Assumptions!F47*(Assumptions!$G$18+Assumptions!$G$19)*Assumptions!$G$9</f>
        <v>65000</v>
      </c>
      <c r="O12" s="68"/>
    </row>
    <row r="13" spans="1:16" ht="13.15">
      <c r="A13" s="14" t="s">
        <v>46</v>
      </c>
      <c r="F13" s="70">
        <f>Assumptions!$D$9*(Assumptions!$D$17+Assumptions!$D$18)*Assumptions!C48</f>
        <v>25000</v>
      </c>
      <c r="G13" s="68"/>
      <c r="H13" s="63"/>
      <c r="I13" s="69" t="s">
        <v>46</v>
      </c>
      <c r="J13" s="41"/>
      <c r="K13" s="41"/>
      <c r="L13" s="41"/>
      <c r="M13" s="41"/>
      <c r="N13" s="70">
        <f>Assumptions!F48*(Assumptions!$G$18+Assumptions!$G$19)*Assumptions!$G$9</f>
        <v>30000</v>
      </c>
      <c r="O13" s="68"/>
    </row>
    <row r="14" spans="1:16" ht="13.15">
      <c r="A14" s="14" t="s">
        <v>142</v>
      </c>
      <c r="F14" s="68"/>
      <c r="G14" s="67">
        <f>SUM(F9:F13)</f>
        <v>300000</v>
      </c>
      <c r="H14" s="63"/>
      <c r="I14" s="69" t="s">
        <v>142</v>
      </c>
      <c r="J14" s="41"/>
      <c r="K14" s="41"/>
      <c r="L14" s="41"/>
      <c r="M14" s="41"/>
      <c r="N14" s="68"/>
      <c r="O14" s="67">
        <f>SUM(N9:N13)</f>
        <v>360000</v>
      </c>
    </row>
    <row r="15" spans="1:16" ht="13.15">
      <c r="A15" s="14"/>
      <c r="B15" s="14"/>
      <c r="C15" s="14"/>
      <c r="D15" s="14"/>
      <c r="E15" s="14"/>
      <c r="F15" s="68"/>
      <c r="G15" s="68"/>
      <c r="H15" s="63"/>
      <c r="I15" s="41"/>
      <c r="J15" s="41"/>
      <c r="K15" s="41"/>
      <c r="L15" s="41"/>
      <c r="M15" s="41"/>
      <c r="N15" s="71"/>
      <c r="O15" s="71"/>
    </row>
    <row r="16" spans="1:16" ht="13.15">
      <c r="A16" s="14" t="s">
        <v>143</v>
      </c>
      <c r="E16" s="14"/>
      <c r="F16" s="68"/>
      <c r="G16" s="68"/>
      <c r="H16" s="63"/>
      <c r="I16" s="69" t="s">
        <v>143</v>
      </c>
      <c r="J16" s="41"/>
      <c r="K16" s="41"/>
      <c r="L16" s="41"/>
      <c r="M16" s="69"/>
      <c r="N16" s="68"/>
      <c r="O16" s="68"/>
    </row>
    <row r="17" spans="1:15" ht="13.15">
      <c r="A17" s="14" t="s">
        <v>42</v>
      </c>
      <c r="C17" s="14"/>
      <c r="D17" s="14"/>
      <c r="E17" s="14"/>
      <c r="F17" s="67">
        <f>Assumptions!$D$9*(Assumptions!$D$17+Assumptions!$D$18)*Assumptions!C35</f>
        <v>100000</v>
      </c>
      <c r="G17" s="68"/>
      <c r="H17" s="63"/>
      <c r="I17" s="69" t="s">
        <v>42</v>
      </c>
      <c r="J17" s="41"/>
      <c r="K17" s="69"/>
      <c r="L17" s="69"/>
      <c r="M17" s="69"/>
      <c r="N17" s="67">
        <f>Assumptions!F35*(Assumptions!$G$18+Assumptions!$G$19)*Assumptions!$G$9</f>
        <v>100000</v>
      </c>
      <c r="O17" s="68"/>
    </row>
    <row r="18" spans="1:15" ht="13.15">
      <c r="A18" s="14" t="s">
        <v>144</v>
      </c>
      <c r="C18" s="14"/>
      <c r="D18" s="14"/>
      <c r="E18" s="14"/>
      <c r="F18" s="67">
        <f>Assumptions!$D$9*(Assumptions!$D$17+Assumptions!$D$18)*Assumptions!C36</f>
        <v>80000</v>
      </c>
      <c r="G18" s="68"/>
      <c r="H18" s="63"/>
      <c r="I18" s="69" t="s">
        <v>144</v>
      </c>
      <c r="J18" s="41"/>
      <c r="K18" s="69"/>
      <c r="L18" s="69"/>
      <c r="M18" s="69"/>
      <c r="N18" s="67">
        <f>Assumptions!F36*(Assumptions!$G$18+Assumptions!$G$19)*Assumptions!$G$9</f>
        <v>80000</v>
      </c>
      <c r="O18" s="68"/>
    </row>
    <row r="19" spans="1:15" ht="13.15">
      <c r="A19" s="14" t="s">
        <v>145</v>
      </c>
      <c r="D19" s="14"/>
      <c r="E19" s="14"/>
      <c r="F19" s="67">
        <f>Assumptions!$D$9*(Assumptions!$D$17+Assumptions!$D$18)*Assumptions!C37</f>
        <v>50000</v>
      </c>
      <c r="G19" s="68"/>
      <c r="H19" s="63"/>
      <c r="I19" s="69" t="s">
        <v>145</v>
      </c>
      <c r="J19" s="41"/>
      <c r="K19" s="41"/>
      <c r="L19" s="69"/>
      <c r="M19" s="69"/>
      <c r="N19" s="67">
        <f>Assumptions!F37*(Assumptions!$G$18+Assumptions!$G$19)*Assumptions!$G$9</f>
        <v>50000</v>
      </c>
      <c r="O19" s="68"/>
    </row>
    <row r="20" spans="1:15" ht="13.15">
      <c r="A20" s="14" t="s">
        <v>146</v>
      </c>
      <c r="C20" s="14"/>
      <c r="D20" s="14"/>
      <c r="E20" s="14"/>
      <c r="F20" s="67">
        <f>Assumptions!$D$9*(Assumptions!$D$17+Assumptions!$D$18)*Assumptions!C38</f>
        <v>25000</v>
      </c>
      <c r="G20" s="68"/>
      <c r="H20" s="63"/>
      <c r="I20" s="69" t="s">
        <v>146</v>
      </c>
      <c r="J20" s="41"/>
      <c r="K20" s="69"/>
      <c r="L20" s="69"/>
      <c r="M20" s="69"/>
      <c r="N20" s="67">
        <f>Assumptions!F38*(Assumptions!$G$18+Assumptions!$G$19)*Assumptions!$G$9</f>
        <v>25000</v>
      </c>
      <c r="O20" s="68"/>
    </row>
    <row r="21" spans="1:15" ht="13.15">
      <c r="A21" s="14" t="s">
        <v>46</v>
      </c>
      <c r="C21" s="14"/>
      <c r="D21" s="14"/>
      <c r="E21" s="14"/>
      <c r="F21" s="70">
        <f>Assumptions!$D$9*(Assumptions!$D$17+Assumptions!$D$18)*Assumptions!C39</f>
        <v>30000</v>
      </c>
      <c r="G21" s="68"/>
      <c r="H21" s="63"/>
      <c r="I21" s="69" t="s">
        <v>46</v>
      </c>
      <c r="J21" s="41"/>
      <c r="K21" s="69"/>
      <c r="L21" s="69"/>
      <c r="M21" s="69"/>
      <c r="N21" s="70">
        <f>Assumptions!F39*(Assumptions!$G$18+Assumptions!$G$19)*Assumptions!$G$9</f>
        <v>30000</v>
      </c>
      <c r="O21" s="68"/>
    </row>
    <row r="22" spans="1:15" ht="13.15">
      <c r="A22" s="14" t="s">
        <v>147</v>
      </c>
      <c r="F22" s="68"/>
      <c r="G22" s="72">
        <f>SUM(F17:F21)</f>
        <v>285000</v>
      </c>
      <c r="H22" s="63"/>
      <c r="I22" s="69" t="s">
        <v>147</v>
      </c>
      <c r="J22" s="41"/>
      <c r="K22" s="41"/>
      <c r="L22" s="41"/>
      <c r="M22" s="41"/>
      <c r="N22" s="68"/>
      <c r="O22" s="72">
        <f>SUM(N17:N21)</f>
        <v>285000</v>
      </c>
    </row>
    <row r="23" spans="1:15" ht="13.15">
      <c r="A23" s="14"/>
      <c r="B23" s="14"/>
      <c r="C23" s="14"/>
      <c r="D23" s="14"/>
      <c r="E23" s="14"/>
      <c r="F23" s="68"/>
      <c r="G23" s="68"/>
      <c r="H23" s="63"/>
      <c r="I23" s="69"/>
      <c r="J23" s="69"/>
      <c r="K23" s="69"/>
      <c r="L23" s="69"/>
      <c r="M23" s="69"/>
      <c r="N23" s="68"/>
      <c r="O23" s="68"/>
    </row>
    <row r="24" spans="1:15" ht="13.15">
      <c r="A24" s="14" t="s">
        <v>148</v>
      </c>
      <c r="E24" s="14"/>
      <c r="F24" s="68"/>
      <c r="G24" s="73">
        <f>G14+G22</f>
        <v>585000</v>
      </c>
      <c r="H24" s="41"/>
      <c r="I24" s="69" t="s">
        <v>148</v>
      </c>
      <c r="J24" s="41"/>
      <c r="K24" s="41"/>
      <c r="L24" s="41"/>
      <c r="M24" s="69"/>
      <c r="N24" s="68"/>
      <c r="O24" s="73">
        <f>O14+O22</f>
        <v>645000</v>
      </c>
    </row>
  </sheetData>
  <mergeCells count="3">
    <mergeCell ref="F4:H4"/>
    <mergeCell ref="N4:P4"/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N44"/>
  <sheetViews>
    <sheetView workbookViewId="0">
      <pane xSplit="1" topLeftCell="B1" activePane="topRight" state="frozen"/>
      <selection pane="topRight" activeCell="E2" sqref="E2"/>
    </sheetView>
  </sheetViews>
  <sheetFormatPr defaultColWidth="14.28515625" defaultRowHeight="15.75" customHeight="1"/>
  <cols>
    <col min="1" max="1" width="21.5703125" customWidth="1"/>
  </cols>
  <sheetData>
    <row r="1" spans="1:14" ht="22.15">
      <c r="A1" s="84" t="s">
        <v>0</v>
      </c>
      <c r="B1" s="85"/>
      <c r="C1" s="85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>
      <c r="A2" s="17" t="s">
        <v>149</v>
      </c>
      <c r="B2" s="18"/>
      <c r="C2" s="18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>
      <c r="A3" s="17" t="s">
        <v>2</v>
      </c>
      <c r="B3" s="18"/>
      <c r="C3" s="18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3.15">
      <c r="A4" s="18"/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8" t="s">
        <v>33</v>
      </c>
    </row>
    <row r="5" spans="1:14" ht="13.15">
      <c r="A5" s="19" t="s">
        <v>150</v>
      </c>
    </row>
    <row r="6" spans="1:14" ht="13.15">
      <c r="A6" s="19" t="s">
        <v>3</v>
      </c>
    </row>
    <row r="7" spans="1:14" ht="13.15">
      <c r="A7" s="52" t="s">
        <v>49</v>
      </c>
      <c r="B7" s="58">
        <f>'Monthly Labor'!$B$9*Assumptions!$C$44</f>
        <v>2000</v>
      </c>
      <c r="C7" s="58">
        <f>'Monthly Labor'!$C$9*Assumptions!$C44</f>
        <v>2000</v>
      </c>
      <c r="D7" s="58">
        <f>'Monthly Labor'!$D$9*Assumptions!$C44</f>
        <v>3000</v>
      </c>
      <c r="E7" s="58">
        <f>'Monthly Labor'!$E$9*Assumptions!$C44</f>
        <v>4000</v>
      </c>
      <c r="F7" s="58">
        <f>'Monthly Labor'!$F$9*Assumptions!$C44</f>
        <v>7000.0000000000009</v>
      </c>
      <c r="G7" s="58">
        <f>'Monthly Labor'!$G$9*Assumptions!$C44</f>
        <v>8000</v>
      </c>
      <c r="H7" s="58">
        <f>'Monthly Labor'!$H$9*Assumptions!$C44</f>
        <v>9000</v>
      </c>
      <c r="I7" s="58">
        <f>'Monthly Labor'!$I$9*Assumptions!$C44</f>
        <v>10000.000000000002</v>
      </c>
      <c r="J7" s="58">
        <f>'Monthly Labor'!$J$9*Assumptions!$C44</f>
        <v>11000</v>
      </c>
      <c r="K7" s="58">
        <f>'Monthly Labor'!$K$9*Assumptions!$C44</f>
        <v>14000.000000000002</v>
      </c>
      <c r="L7" s="58">
        <f>'Monthly Labor'!$L$9*Assumptions!$C44</f>
        <v>15000</v>
      </c>
      <c r="M7" s="58">
        <f>'Monthly Labor'!$M$9*Assumptions!$C44</f>
        <v>15000</v>
      </c>
      <c r="N7" s="41">
        <f>SUM(B7:M7)</f>
        <v>100000</v>
      </c>
    </row>
    <row r="8" spans="1:14" ht="13.15">
      <c r="A8" s="52" t="s">
        <v>50</v>
      </c>
      <c r="B8" s="58">
        <f>'Monthly Labor'!$B$9*Assumptions!$C$45</f>
        <v>1500</v>
      </c>
      <c r="C8" s="58">
        <f>'Monthly Labor'!$C$9*Assumptions!$C45</f>
        <v>1500</v>
      </c>
      <c r="D8" s="58">
        <f>'Monthly Labor'!$D$9*Assumptions!$C45</f>
        <v>2250</v>
      </c>
      <c r="E8" s="58">
        <f>'Monthly Labor'!$E$9*Assumptions!$C45</f>
        <v>3000</v>
      </c>
      <c r="F8" s="58">
        <f>'Monthly Labor'!$F$9*Assumptions!$C45</f>
        <v>5250.0000000000009</v>
      </c>
      <c r="G8" s="58">
        <f>'Monthly Labor'!$G$9*Assumptions!$C45</f>
        <v>6000</v>
      </c>
      <c r="H8" s="58">
        <f>'Monthly Labor'!$H$9*Assumptions!$C45</f>
        <v>6749.9999999999991</v>
      </c>
      <c r="I8" s="58">
        <f>'Monthly Labor'!$I$9*Assumptions!$C45</f>
        <v>7500</v>
      </c>
      <c r="J8" s="58">
        <f>'Monthly Labor'!$J$9*Assumptions!$C45</f>
        <v>8250</v>
      </c>
      <c r="K8" s="58">
        <f>'Monthly Labor'!$K$9*Assumptions!$C45</f>
        <v>10500.000000000002</v>
      </c>
      <c r="L8" s="58">
        <f>'Monthly Labor'!$L$9*Assumptions!$C45</f>
        <v>11250</v>
      </c>
      <c r="M8" s="58">
        <f>'Monthly Labor'!$M$9*Assumptions!$C45</f>
        <v>11250</v>
      </c>
      <c r="N8" s="41">
        <f t="shared" ref="N8:N43" si="0">SUM(B8:M8)</f>
        <v>75000</v>
      </c>
    </row>
    <row r="9" spans="1:14" ht="13.15">
      <c r="A9" s="52" t="s">
        <v>51</v>
      </c>
      <c r="B9" s="58">
        <f>'Monthly Labor'!$B$9*Assumptions!$C$46</f>
        <v>1000</v>
      </c>
      <c r="C9" s="58">
        <f>'Monthly Labor'!$C$9*Assumptions!$C46</f>
        <v>1000</v>
      </c>
      <c r="D9" s="58">
        <f>'Monthly Labor'!$D$9*Assumptions!$C46</f>
        <v>1500</v>
      </c>
      <c r="E9" s="58">
        <f>'Monthly Labor'!$E$9*Assumptions!$C46</f>
        <v>2000</v>
      </c>
      <c r="F9" s="58">
        <f>'Monthly Labor'!$F$9*Assumptions!$C46</f>
        <v>3500.0000000000005</v>
      </c>
      <c r="G9" s="58">
        <f>'Monthly Labor'!$G$9*Assumptions!$C46</f>
        <v>4000</v>
      </c>
      <c r="H9" s="58">
        <f>'Monthly Labor'!$H$9*Assumptions!$C46</f>
        <v>4500</v>
      </c>
      <c r="I9" s="58">
        <f>'Monthly Labor'!$I$9*Assumptions!$C46</f>
        <v>5000.0000000000009</v>
      </c>
      <c r="J9" s="58">
        <f>'Monthly Labor'!$J$9*Assumptions!$C46</f>
        <v>5500</v>
      </c>
      <c r="K9" s="58">
        <f>'Monthly Labor'!$K$9*Assumptions!$C46</f>
        <v>7000.0000000000009</v>
      </c>
      <c r="L9" s="58">
        <f>'Monthly Labor'!$L$9*Assumptions!$C46</f>
        <v>7500</v>
      </c>
      <c r="M9" s="58">
        <f>'Monthly Labor'!$M$9*Assumptions!$C46</f>
        <v>7500</v>
      </c>
      <c r="N9" s="41">
        <f t="shared" si="0"/>
        <v>50000</v>
      </c>
    </row>
    <row r="10" spans="1:14" ht="13.15">
      <c r="A10" s="52" t="s">
        <v>52</v>
      </c>
      <c r="B10" s="58">
        <f>'Monthly Labor'!$B$9*Assumptions!$C$47</f>
        <v>1000</v>
      </c>
      <c r="C10" s="58">
        <f>'Monthly Labor'!$C$9*Assumptions!$C47</f>
        <v>1000</v>
      </c>
      <c r="D10" s="58">
        <f>'Monthly Labor'!$D$9*Assumptions!$C47</f>
        <v>1500</v>
      </c>
      <c r="E10" s="58">
        <f>'Monthly Labor'!$E$9*Assumptions!$C47</f>
        <v>2000</v>
      </c>
      <c r="F10" s="58">
        <f>'Monthly Labor'!$F$9*Assumptions!$C47</f>
        <v>3500.0000000000005</v>
      </c>
      <c r="G10" s="58">
        <f>'Monthly Labor'!$G$9*Assumptions!$C47</f>
        <v>4000</v>
      </c>
      <c r="H10" s="58">
        <f>'Monthly Labor'!$H$9*Assumptions!$C47</f>
        <v>4500</v>
      </c>
      <c r="I10" s="58">
        <f>'Monthly Labor'!$I$9*Assumptions!$C47</f>
        <v>5000.0000000000009</v>
      </c>
      <c r="J10" s="58">
        <f>'Monthly Labor'!$J$9*Assumptions!$C47</f>
        <v>5500</v>
      </c>
      <c r="K10" s="58">
        <f>'Monthly Labor'!$K$9*Assumptions!$C47</f>
        <v>7000.0000000000009</v>
      </c>
      <c r="L10" s="58">
        <f>'Monthly Labor'!$L$9*Assumptions!$C47</f>
        <v>7500</v>
      </c>
      <c r="M10" s="58">
        <f>'Monthly Labor'!$M$9*Assumptions!$C47</f>
        <v>7500</v>
      </c>
      <c r="N10" s="41">
        <f t="shared" si="0"/>
        <v>50000</v>
      </c>
    </row>
    <row r="11" spans="1:14" ht="13.15">
      <c r="A11" s="52" t="s">
        <v>46</v>
      </c>
      <c r="B11" s="59">
        <f>'Monthly Labor'!$B$9*Assumptions!$C$48</f>
        <v>500</v>
      </c>
      <c r="C11" s="59">
        <f>'Monthly Labor'!$C$9*Assumptions!$C48</f>
        <v>500</v>
      </c>
      <c r="D11" s="59">
        <f>'Monthly Labor'!$D$9*Assumptions!$C48</f>
        <v>750</v>
      </c>
      <c r="E11" s="59">
        <f>'Monthly Labor'!$E$9*Assumptions!$C48</f>
        <v>1000</v>
      </c>
      <c r="F11" s="59">
        <f>'Monthly Labor'!$F$9*Assumptions!$C48</f>
        <v>1750.0000000000002</v>
      </c>
      <c r="G11" s="59">
        <f>'Monthly Labor'!$G$9*Assumptions!$C48</f>
        <v>2000</v>
      </c>
      <c r="H11" s="59">
        <f>'Monthly Labor'!$H$9*Assumptions!$C48</f>
        <v>2250</v>
      </c>
      <c r="I11" s="59">
        <f>'Monthly Labor'!$I$9*Assumptions!$C48</f>
        <v>2500.0000000000005</v>
      </c>
      <c r="J11" s="59">
        <f>'Monthly Labor'!$J$9*Assumptions!$C48</f>
        <v>2750</v>
      </c>
      <c r="K11" s="59">
        <f>'Monthly Labor'!$K$9*Assumptions!$C48</f>
        <v>3500.0000000000005</v>
      </c>
      <c r="L11" s="59">
        <f>'Monthly Labor'!$L$9*Assumptions!$C48</f>
        <v>3750</v>
      </c>
      <c r="M11" s="59">
        <f>'Monthly Labor'!$M$9*Assumptions!$C48</f>
        <v>3750</v>
      </c>
      <c r="N11" s="60">
        <f t="shared" si="0"/>
        <v>25000</v>
      </c>
    </row>
    <row r="12" spans="1:14" ht="13.5" thickBot="1">
      <c r="A12" s="19" t="s">
        <v>151</v>
      </c>
      <c r="B12" s="61">
        <f t="shared" ref="B12:M12" si="1">SUM(B7:B11)</f>
        <v>6000</v>
      </c>
      <c r="C12" s="61">
        <f t="shared" si="1"/>
        <v>6000</v>
      </c>
      <c r="D12" s="61">
        <f t="shared" si="1"/>
        <v>9000</v>
      </c>
      <c r="E12" s="61">
        <f t="shared" si="1"/>
        <v>12000</v>
      </c>
      <c r="F12" s="61">
        <f t="shared" si="1"/>
        <v>21000.000000000004</v>
      </c>
      <c r="G12" s="61">
        <f t="shared" si="1"/>
        <v>24000</v>
      </c>
      <c r="H12" s="61">
        <f t="shared" si="1"/>
        <v>27000</v>
      </c>
      <c r="I12" s="61">
        <f t="shared" si="1"/>
        <v>30000</v>
      </c>
      <c r="J12" s="61">
        <f t="shared" si="1"/>
        <v>33000</v>
      </c>
      <c r="K12" s="61">
        <f t="shared" si="1"/>
        <v>42000.000000000007</v>
      </c>
      <c r="L12" s="61">
        <f t="shared" si="1"/>
        <v>45000</v>
      </c>
      <c r="M12" s="61">
        <f t="shared" si="1"/>
        <v>45000</v>
      </c>
      <c r="N12" s="62">
        <f t="shared" si="0"/>
        <v>300000</v>
      </c>
    </row>
    <row r="13" spans="1:14" ht="15.75" customHeight="1" thickTop="1">
      <c r="A13" s="18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ht="13.15">
      <c r="A14" s="19" t="s">
        <v>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3.15">
      <c r="A15" s="52" t="s">
        <v>49</v>
      </c>
      <c r="B15" s="63">
        <f>Assumptions!$F$44*'Monthly Labor'!B21</f>
        <v>11500</v>
      </c>
      <c r="C15" s="63">
        <f>Assumptions!$F$44*'Monthly Labor'!C21</f>
        <v>11500</v>
      </c>
      <c r="D15" s="63">
        <f>Assumptions!$F$44*'Monthly Labor'!D21</f>
        <v>11500</v>
      </c>
      <c r="E15" s="63">
        <f>Assumptions!$F$44*'Monthly Labor'!E21</f>
        <v>11500</v>
      </c>
      <c r="F15" s="63">
        <f>Assumptions!$F$44*'Monthly Labor'!F21</f>
        <v>5750</v>
      </c>
      <c r="G15" s="63">
        <f>Assumptions!$F$44*'Monthly Labor'!G21</f>
        <v>5750</v>
      </c>
      <c r="H15" s="63">
        <f>Assumptions!$F$44*'Monthly Labor'!H21</f>
        <v>5750</v>
      </c>
      <c r="I15" s="63">
        <f>Assumptions!$F$44*'Monthly Labor'!I21</f>
        <v>5750</v>
      </c>
      <c r="J15" s="63">
        <f>Assumptions!$F$44*'Monthly Labor'!J21</f>
        <v>5750</v>
      </c>
      <c r="K15" s="63">
        <f>Assumptions!$F$44*'Monthly Labor'!K21</f>
        <v>17250</v>
      </c>
      <c r="L15" s="63">
        <f>Assumptions!$F$44*'Monthly Labor'!L21</f>
        <v>11500</v>
      </c>
      <c r="M15" s="63">
        <f>Assumptions!$F$44*'Monthly Labor'!M21</f>
        <v>11500</v>
      </c>
      <c r="N15" s="41">
        <f t="shared" si="0"/>
        <v>115000</v>
      </c>
    </row>
    <row r="16" spans="1:14" ht="13.15">
      <c r="A16" s="52" t="s">
        <v>50</v>
      </c>
      <c r="B16" s="63">
        <f>Assumptions!$F$45*'Monthly Labor'!B21</f>
        <v>9000</v>
      </c>
      <c r="C16" s="63">
        <f>Assumptions!$F$45*'Monthly Labor'!C21</f>
        <v>9000</v>
      </c>
      <c r="D16" s="63">
        <f>Assumptions!$F$45*'Monthly Labor'!D21</f>
        <v>9000</v>
      </c>
      <c r="E16" s="63">
        <f>Assumptions!$F$45*'Monthly Labor'!E21</f>
        <v>9000</v>
      </c>
      <c r="F16" s="63">
        <f>Assumptions!$F$45*'Monthly Labor'!F21</f>
        <v>4500</v>
      </c>
      <c r="G16" s="63">
        <f>Assumptions!$F$45*'Monthly Labor'!G21</f>
        <v>4500</v>
      </c>
      <c r="H16" s="63">
        <f>Assumptions!$F$45*'Monthly Labor'!H21</f>
        <v>4500</v>
      </c>
      <c r="I16" s="63">
        <f>Assumptions!$F$45*'Monthly Labor'!I21</f>
        <v>4500</v>
      </c>
      <c r="J16" s="63">
        <f>Assumptions!$F$45*'Monthly Labor'!J21</f>
        <v>4500</v>
      </c>
      <c r="K16" s="63">
        <f>Assumptions!$F$45*'Monthly Labor'!K21</f>
        <v>13500</v>
      </c>
      <c r="L16" s="63">
        <f>Assumptions!$F$45*'Monthly Labor'!L21</f>
        <v>9000</v>
      </c>
      <c r="M16" s="63">
        <f>Assumptions!$F$45*'Monthly Labor'!M21</f>
        <v>9000</v>
      </c>
      <c r="N16" s="41">
        <f t="shared" si="0"/>
        <v>90000</v>
      </c>
    </row>
    <row r="17" spans="1:14" ht="13.15">
      <c r="A17" s="52" t="s">
        <v>51</v>
      </c>
      <c r="B17" s="63">
        <f>Assumptions!$F$46*'Monthly Labor'!B21</f>
        <v>6000</v>
      </c>
      <c r="C17" s="63">
        <f>Assumptions!$F$46*'Monthly Labor'!C21</f>
        <v>6000</v>
      </c>
      <c r="D17" s="63">
        <f>Assumptions!$F$46*'Monthly Labor'!D21</f>
        <v>6000</v>
      </c>
      <c r="E17" s="63">
        <f>Assumptions!$F$46*'Monthly Labor'!E21</f>
        <v>6000</v>
      </c>
      <c r="F17" s="63">
        <f>Assumptions!$F$46*'Monthly Labor'!F21</f>
        <v>3000</v>
      </c>
      <c r="G17" s="63">
        <f>Assumptions!$F$46*'Monthly Labor'!G21</f>
        <v>3000</v>
      </c>
      <c r="H17" s="63">
        <f>Assumptions!$F$46*'Monthly Labor'!H21</f>
        <v>3000</v>
      </c>
      <c r="I17" s="63">
        <f>Assumptions!$F$46*'Monthly Labor'!I21</f>
        <v>3000</v>
      </c>
      <c r="J17" s="63">
        <f>Assumptions!$F$46*'Monthly Labor'!J21</f>
        <v>3000</v>
      </c>
      <c r="K17" s="63">
        <f>Assumptions!$F$46*'Monthly Labor'!K21</f>
        <v>9000</v>
      </c>
      <c r="L17" s="63">
        <f>Assumptions!$F$46*'Monthly Labor'!L21</f>
        <v>6000</v>
      </c>
      <c r="M17" s="63">
        <f>Assumptions!$F$46*'Monthly Labor'!M21</f>
        <v>6000</v>
      </c>
      <c r="N17" s="41">
        <f t="shared" si="0"/>
        <v>60000</v>
      </c>
    </row>
    <row r="18" spans="1:14" ht="13.15">
      <c r="A18" s="52" t="s">
        <v>52</v>
      </c>
      <c r="B18" s="63">
        <f>Assumptions!$F$47*'Monthly Labor'!B21</f>
        <v>6500</v>
      </c>
      <c r="C18" s="63">
        <f>Assumptions!$F$47*'Monthly Labor'!C21</f>
        <v>6500</v>
      </c>
      <c r="D18" s="63">
        <f>Assumptions!$F$47*'Monthly Labor'!D21</f>
        <v>6500</v>
      </c>
      <c r="E18" s="63">
        <f>Assumptions!$F$47*'Monthly Labor'!E21</f>
        <v>6500</v>
      </c>
      <c r="F18" s="63">
        <f>Assumptions!$F$47*'Monthly Labor'!F21</f>
        <v>3250</v>
      </c>
      <c r="G18" s="63">
        <f>Assumptions!$F$47*'Monthly Labor'!G21</f>
        <v>3250</v>
      </c>
      <c r="H18" s="63">
        <f>Assumptions!$F$47*'Monthly Labor'!H21</f>
        <v>3250</v>
      </c>
      <c r="I18" s="63">
        <f>Assumptions!$F$47*'Monthly Labor'!I21</f>
        <v>3250</v>
      </c>
      <c r="J18" s="63">
        <f>Assumptions!$F$47*'Monthly Labor'!J21</f>
        <v>3250</v>
      </c>
      <c r="K18" s="63">
        <f>Assumptions!$F$47*'Monthly Labor'!K21</f>
        <v>9750</v>
      </c>
      <c r="L18" s="63">
        <f>Assumptions!$F$47*'Monthly Labor'!L21</f>
        <v>6500</v>
      </c>
      <c r="M18" s="63">
        <f>Assumptions!$F$47*'Monthly Labor'!M21</f>
        <v>6500</v>
      </c>
      <c r="N18" s="41">
        <f t="shared" si="0"/>
        <v>65000</v>
      </c>
    </row>
    <row r="19" spans="1:14" ht="13.15">
      <c r="A19" s="52" t="s">
        <v>46</v>
      </c>
      <c r="B19" s="64">
        <f>Assumptions!$F$48*'Monthly Labor'!B21</f>
        <v>3000</v>
      </c>
      <c r="C19" s="64">
        <f>Assumptions!$F$48*'Monthly Labor'!C21</f>
        <v>3000</v>
      </c>
      <c r="D19" s="64">
        <f>Assumptions!$F$48*'Monthly Labor'!D21</f>
        <v>3000</v>
      </c>
      <c r="E19" s="64">
        <f>Assumptions!$F$48*'Monthly Labor'!E21</f>
        <v>3000</v>
      </c>
      <c r="F19" s="64">
        <f>Assumptions!$F$48*'Monthly Labor'!F21</f>
        <v>1500</v>
      </c>
      <c r="G19" s="64">
        <f>Assumptions!$F$48*'Monthly Labor'!G21</f>
        <v>1500</v>
      </c>
      <c r="H19" s="64">
        <f>Assumptions!$F$48*'Monthly Labor'!H21</f>
        <v>1500</v>
      </c>
      <c r="I19" s="64">
        <f>Assumptions!$F$48*'Monthly Labor'!I21</f>
        <v>1500</v>
      </c>
      <c r="J19" s="64">
        <f>Assumptions!$F$48*'Monthly Labor'!J21</f>
        <v>1500</v>
      </c>
      <c r="K19" s="64">
        <f>Assumptions!$F$48*'Monthly Labor'!K21</f>
        <v>4500</v>
      </c>
      <c r="L19" s="64">
        <f>Assumptions!$F$48*'Monthly Labor'!L21</f>
        <v>3000</v>
      </c>
      <c r="M19" s="64">
        <f>Assumptions!$F$48*'Monthly Labor'!M21</f>
        <v>3000</v>
      </c>
      <c r="N19" s="60">
        <f t="shared" si="0"/>
        <v>30000</v>
      </c>
    </row>
    <row r="20" spans="1:14" ht="13.5" thickBot="1">
      <c r="A20" s="19" t="s">
        <v>152</v>
      </c>
      <c r="B20" s="61">
        <f t="shared" ref="B20:M20" si="2">SUM(B15:B19)</f>
        <v>36000</v>
      </c>
      <c r="C20" s="61">
        <f t="shared" si="2"/>
        <v>36000</v>
      </c>
      <c r="D20" s="61">
        <f t="shared" si="2"/>
        <v>36000</v>
      </c>
      <c r="E20" s="61">
        <f t="shared" si="2"/>
        <v>36000</v>
      </c>
      <c r="F20" s="61">
        <f t="shared" si="2"/>
        <v>18000</v>
      </c>
      <c r="G20" s="61">
        <f t="shared" si="2"/>
        <v>18000</v>
      </c>
      <c r="H20" s="61">
        <f t="shared" si="2"/>
        <v>18000</v>
      </c>
      <c r="I20" s="61">
        <f t="shared" si="2"/>
        <v>18000</v>
      </c>
      <c r="J20" s="61">
        <f t="shared" si="2"/>
        <v>18000</v>
      </c>
      <c r="K20" s="61">
        <f t="shared" si="2"/>
        <v>54000</v>
      </c>
      <c r="L20" s="61">
        <f t="shared" si="2"/>
        <v>36000</v>
      </c>
      <c r="M20" s="61">
        <f t="shared" si="2"/>
        <v>36000</v>
      </c>
      <c r="N20" s="62">
        <f t="shared" si="0"/>
        <v>360000</v>
      </c>
    </row>
    <row r="21" spans="1:14" ht="15.75" customHeight="1" thickTop="1">
      <c r="A21" s="18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3.5" thickBot="1">
      <c r="A22" s="19" t="s">
        <v>153</v>
      </c>
      <c r="B22" s="65">
        <f t="shared" ref="B22:M22" si="3">B12+B20</f>
        <v>42000</v>
      </c>
      <c r="C22" s="65">
        <f t="shared" si="3"/>
        <v>42000</v>
      </c>
      <c r="D22" s="65">
        <f t="shared" si="3"/>
        <v>45000</v>
      </c>
      <c r="E22" s="65">
        <f t="shared" si="3"/>
        <v>48000</v>
      </c>
      <c r="F22" s="65">
        <f t="shared" si="3"/>
        <v>39000</v>
      </c>
      <c r="G22" s="65">
        <f t="shared" si="3"/>
        <v>42000</v>
      </c>
      <c r="H22" s="65">
        <f t="shared" si="3"/>
        <v>45000</v>
      </c>
      <c r="I22" s="65">
        <f t="shared" si="3"/>
        <v>48000</v>
      </c>
      <c r="J22" s="65">
        <f t="shared" si="3"/>
        <v>51000</v>
      </c>
      <c r="K22" s="65">
        <f t="shared" si="3"/>
        <v>96000</v>
      </c>
      <c r="L22" s="65">
        <f t="shared" si="3"/>
        <v>81000</v>
      </c>
      <c r="M22" s="65">
        <f t="shared" si="3"/>
        <v>81000</v>
      </c>
      <c r="N22" s="62">
        <f t="shared" si="0"/>
        <v>660000</v>
      </c>
    </row>
    <row r="23" spans="1:14" ht="13.5" thickTop="1">
      <c r="A23" s="1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3.15">
      <c r="A24" s="19" t="s">
        <v>154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13.15">
      <c r="A25" s="19" t="s">
        <v>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ht="13.15">
      <c r="A26" s="52" t="s">
        <v>42</v>
      </c>
      <c r="B26" s="58">
        <f>'Monthly Labor'!B9*Assumptions!$C$35</f>
        <v>2000</v>
      </c>
      <c r="C26" s="58">
        <f>'Monthly Labor'!C9*Assumptions!$C$35</f>
        <v>2000</v>
      </c>
      <c r="D26" s="58">
        <f>'Monthly Labor'!D9*Assumptions!$C$35</f>
        <v>3000</v>
      </c>
      <c r="E26" s="58">
        <f>'Monthly Labor'!E9*Assumptions!$C$35</f>
        <v>4000</v>
      </c>
      <c r="F26" s="58">
        <f>'Monthly Labor'!F9*Assumptions!$C$35</f>
        <v>7000.0000000000009</v>
      </c>
      <c r="G26" s="58">
        <f>'Monthly Labor'!G9*Assumptions!$C$35</f>
        <v>8000</v>
      </c>
      <c r="H26" s="58">
        <f>'Monthly Labor'!H9*Assumptions!$C$35</f>
        <v>9000</v>
      </c>
      <c r="I26" s="58">
        <f>'Monthly Labor'!I9*Assumptions!$C$35</f>
        <v>10000.000000000002</v>
      </c>
      <c r="J26" s="58">
        <f>'Monthly Labor'!J9*Assumptions!$C$35</f>
        <v>11000</v>
      </c>
      <c r="K26" s="58">
        <f>'Monthly Labor'!K9*Assumptions!$C$35</f>
        <v>14000.000000000002</v>
      </c>
      <c r="L26" s="58">
        <f>'Monthly Labor'!L9*Assumptions!$C$35</f>
        <v>15000</v>
      </c>
      <c r="M26" s="58">
        <f>'Monthly Labor'!M9*Assumptions!$C$35</f>
        <v>15000</v>
      </c>
      <c r="N26" s="41">
        <f t="shared" si="0"/>
        <v>100000</v>
      </c>
    </row>
    <row r="27" spans="1:14" ht="13.15">
      <c r="A27" s="52" t="s">
        <v>144</v>
      </c>
      <c r="B27" s="58">
        <f>'Monthly Labor'!B9*Assumptions!$C$36</f>
        <v>1599.9999999999998</v>
      </c>
      <c r="C27" s="58">
        <f>'Monthly Labor'!C9*Assumptions!$C$36</f>
        <v>1599.9999999999998</v>
      </c>
      <c r="D27" s="58">
        <f>'Monthly Labor'!D9*Assumptions!$C$36</f>
        <v>2400</v>
      </c>
      <c r="E27" s="58">
        <f>'Monthly Labor'!E9*Assumptions!$C$36</f>
        <v>3199.9999999999995</v>
      </c>
      <c r="F27" s="58">
        <f>'Monthly Labor'!F9*Assumptions!$C$36</f>
        <v>5600.0000000000009</v>
      </c>
      <c r="G27" s="58">
        <f>'Monthly Labor'!G9*Assumptions!$C$36</f>
        <v>6399.9999999999991</v>
      </c>
      <c r="H27" s="58">
        <f>'Monthly Labor'!H9*Assumptions!$C$36</f>
        <v>7199.9999999999991</v>
      </c>
      <c r="I27" s="58">
        <f>'Monthly Labor'!I9*Assumptions!$C$36</f>
        <v>8000</v>
      </c>
      <c r="J27" s="58">
        <f>'Monthly Labor'!J9*Assumptions!$C$36</f>
        <v>8800</v>
      </c>
      <c r="K27" s="58">
        <f>'Monthly Labor'!K9*Assumptions!$C$36</f>
        <v>11200.000000000002</v>
      </c>
      <c r="L27" s="58">
        <f>'Monthly Labor'!L9*Assumptions!$C$36</f>
        <v>12000</v>
      </c>
      <c r="M27" s="58">
        <f>'Monthly Labor'!M9*Assumptions!$C$36</f>
        <v>12000</v>
      </c>
      <c r="N27" s="41">
        <f t="shared" si="0"/>
        <v>80000</v>
      </c>
    </row>
    <row r="28" spans="1:14" ht="13.15">
      <c r="A28" s="52" t="s">
        <v>145</v>
      </c>
      <c r="B28" s="58">
        <f>'Monthly Labor'!B9*Assumptions!$C$37</f>
        <v>1000</v>
      </c>
      <c r="C28" s="58">
        <f>'Monthly Labor'!C9*Assumptions!$C$37</f>
        <v>1000</v>
      </c>
      <c r="D28" s="58">
        <f>'Monthly Labor'!D9*Assumptions!$C$37</f>
        <v>1500</v>
      </c>
      <c r="E28" s="58">
        <f>'Monthly Labor'!E9*Assumptions!$C$37</f>
        <v>2000</v>
      </c>
      <c r="F28" s="58">
        <f>'Monthly Labor'!F9*Assumptions!$C$37</f>
        <v>3500.0000000000005</v>
      </c>
      <c r="G28" s="58">
        <f>'Monthly Labor'!G9*Assumptions!$C$37</f>
        <v>4000</v>
      </c>
      <c r="H28" s="58">
        <f>'Monthly Labor'!H9*Assumptions!$C$37</f>
        <v>4500</v>
      </c>
      <c r="I28" s="58">
        <f>'Monthly Labor'!I9*Assumptions!$C$37</f>
        <v>5000.0000000000009</v>
      </c>
      <c r="J28" s="58">
        <f>'Monthly Labor'!J9*Assumptions!$C$37</f>
        <v>5500</v>
      </c>
      <c r="K28" s="58">
        <f>'Monthly Labor'!K9*Assumptions!$C$37</f>
        <v>7000.0000000000009</v>
      </c>
      <c r="L28" s="58">
        <f>'Monthly Labor'!L9*Assumptions!$C$37</f>
        <v>7500</v>
      </c>
      <c r="M28" s="58">
        <f>'Monthly Labor'!M9*Assumptions!$C$37</f>
        <v>7500</v>
      </c>
      <c r="N28" s="41">
        <f t="shared" si="0"/>
        <v>50000</v>
      </c>
    </row>
    <row r="29" spans="1:14" ht="13.15">
      <c r="A29" s="52" t="s">
        <v>146</v>
      </c>
      <c r="B29" s="58">
        <f>'Monthly Labor'!B9*Assumptions!$C$38</f>
        <v>500</v>
      </c>
      <c r="C29" s="58">
        <f>'Monthly Labor'!C9*Assumptions!$C$38</f>
        <v>500</v>
      </c>
      <c r="D29" s="58">
        <f>'Monthly Labor'!D9*Assumptions!$C$38</f>
        <v>750</v>
      </c>
      <c r="E29" s="58">
        <f>'Monthly Labor'!E9*Assumptions!$C$38</f>
        <v>1000</v>
      </c>
      <c r="F29" s="58">
        <f>'Monthly Labor'!F9*Assumptions!$C$38</f>
        <v>1750.0000000000002</v>
      </c>
      <c r="G29" s="58">
        <f>'Monthly Labor'!G9*Assumptions!$C$38</f>
        <v>2000</v>
      </c>
      <c r="H29" s="58">
        <f>'Monthly Labor'!H9*Assumptions!$C$38</f>
        <v>2250</v>
      </c>
      <c r="I29" s="58">
        <f>'Monthly Labor'!I9*Assumptions!$C$38</f>
        <v>2500.0000000000005</v>
      </c>
      <c r="J29" s="58">
        <f>'Monthly Labor'!J9*Assumptions!$C$38</f>
        <v>2750</v>
      </c>
      <c r="K29" s="58">
        <f>'Monthly Labor'!K9*Assumptions!$C$38</f>
        <v>3500.0000000000005</v>
      </c>
      <c r="L29" s="58">
        <f>'Monthly Labor'!L9*Assumptions!$C$38</f>
        <v>3750</v>
      </c>
      <c r="M29" s="58">
        <f>'Monthly Labor'!M9*Assumptions!$C$38</f>
        <v>3750</v>
      </c>
      <c r="N29" s="41">
        <f t="shared" si="0"/>
        <v>25000</v>
      </c>
    </row>
    <row r="30" spans="1:14" ht="13.15">
      <c r="A30" s="52" t="s">
        <v>46</v>
      </c>
      <c r="B30" s="66">
        <f>'Monthly Labor'!B9*Assumptions!$C$39</f>
        <v>600</v>
      </c>
      <c r="C30" s="66">
        <f>'Monthly Labor'!C9*Assumptions!$C$39</f>
        <v>600</v>
      </c>
      <c r="D30" s="66">
        <f>'Monthly Labor'!D9*Assumptions!$C$39</f>
        <v>900</v>
      </c>
      <c r="E30" s="66">
        <f>'Monthly Labor'!E9*Assumptions!$C$39</f>
        <v>1200</v>
      </c>
      <c r="F30" s="66">
        <f>'Monthly Labor'!F9*Assumptions!$C$39</f>
        <v>2100</v>
      </c>
      <c r="G30" s="66">
        <f>'Monthly Labor'!G9*Assumptions!$C$39</f>
        <v>2400</v>
      </c>
      <c r="H30" s="66">
        <f>'Monthly Labor'!H9*Assumptions!$C$39</f>
        <v>2699.9999999999995</v>
      </c>
      <c r="I30" s="66">
        <f>'Monthly Labor'!I9*Assumptions!$C$39</f>
        <v>3000</v>
      </c>
      <c r="J30" s="66">
        <f>'Monthly Labor'!J9*Assumptions!$C$39</f>
        <v>3300</v>
      </c>
      <c r="K30" s="66">
        <f>'Monthly Labor'!K9*Assumptions!$C$39</f>
        <v>4200</v>
      </c>
      <c r="L30" s="66">
        <f>'Monthly Labor'!L9*Assumptions!$C$39</f>
        <v>4500</v>
      </c>
      <c r="M30" s="66">
        <f>'Monthly Labor'!M9*Assumptions!$C$39</f>
        <v>4500</v>
      </c>
      <c r="N30" s="60">
        <f t="shared" si="0"/>
        <v>30000</v>
      </c>
    </row>
    <row r="31" spans="1:14" ht="13.5" thickBot="1">
      <c r="A31" s="19" t="s">
        <v>155</v>
      </c>
      <c r="B31" s="61">
        <f t="shared" ref="B31:M31" si="4">SUM(B26:B30)</f>
        <v>5700</v>
      </c>
      <c r="C31" s="61">
        <f t="shared" si="4"/>
        <v>5700</v>
      </c>
      <c r="D31" s="61">
        <f t="shared" si="4"/>
        <v>8550</v>
      </c>
      <c r="E31" s="61">
        <f t="shared" si="4"/>
        <v>11400</v>
      </c>
      <c r="F31" s="61">
        <f t="shared" si="4"/>
        <v>19950.000000000004</v>
      </c>
      <c r="G31" s="61">
        <f t="shared" si="4"/>
        <v>22800</v>
      </c>
      <c r="H31" s="61">
        <f t="shared" si="4"/>
        <v>25650</v>
      </c>
      <c r="I31" s="61">
        <f t="shared" si="4"/>
        <v>28500</v>
      </c>
      <c r="J31" s="61">
        <f t="shared" si="4"/>
        <v>31350</v>
      </c>
      <c r="K31" s="61">
        <f t="shared" si="4"/>
        <v>39900.000000000007</v>
      </c>
      <c r="L31" s="61">
        <f t="shared" si="4"/>
        <v>42750</v>
      </c>
      <c r="M31" s="61">
        <f t="shared" si="4"/>
        <v>42750</v>
      </c>
      <c r="N31" s="62">
        <f t="shared" si="0"/>
        <v>285000</v>
      </c>
    </row>
    <row r="32" spans="1:14" ht="15.75" customHeight="1" thickTop="1">
      <c r="A32" s="18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1:14" ht="13.15">
      <c r="A33" s="19" t="s">
        <v>4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ht="13.15">
      <c r="A34" s="52" t="s">
        <v>42</v>
      </c>
      <c r="B34" s="58">
        <f>'Monthly Labor'!B21*Assumptions!$F$35</f>
        <v>10000</v>
      </c>
      <c r="C34" s="58">
        <f>'Monthly Labor'!C21*Assumptions!$F$35</f>
        <v>10000</v>
      </c>
      <c r="D34" s="58">
        <f>'Monthly Labor'!D21*Assumptions!$F$35</f>
        <v>10000</v>
      </c>
      <c r="E34" s="58">
        <f>'Monthly Labor'!E21*Assumptions!$F$35</f>
        <v>10000</v>
      </c>
      <c r="F34" s="58">
        <f>'Monthly Labor'!F21*Assumptions!$F$35</f>
        <v>5000</v>
      </c>
      <c r="G34" s="58">
        <f>'Monthly Labor'!G21*Assumptions!$F$35</f>
        <v>5000</v>
      </c>
      <c r="H34" s="58">
        <f>'Monthly Labor'!H21*Assumptions!$F$35</f>
        <v>5000</v>
      </c>
      <c r="I34" s="58">
        <f>'Monthly Labor'!I21*Assumptions!$F$35</f>
        <v>5000</v>
      </c>
      <c r="J34" s="58">
        <f>'Monthly Labor'!J21*Assumptions!$F$35</f>
        <v>5000</v>
      </c>
      <c r="K34" s="58">
        <f>'Monthly Labor'!K21*Assumptions!$F$35</f>
        <v>14999.999999999998</v>
      </c>
      <c r="L34" s="58">
        <f>'Monthly Labor'!L21*Assumptions!$F$35</f>
        <v>10000</v>
      </c>
      <c r="M34" s="58">
        <f>'Monthly Labor'!M21*Assumptions!$F$35</f>
        <v>10000</v>
      </c>
      <c r="N34" s="41">
        <f t="shared" si="0"/>
        <v>100000</v>
      </c>
    </row>
    <row r="35" spans="1:14" ht="13.15">
      <c r="A35" s="52" t="s">
        <v>144</v>
      </c>
      <c r="B35" s="58">
        <f>'Monthly Labor'!B21*Assumptions!$F$36</f>
        <v>8000</v>
      </c>
      <c r="C35" s="58">
        <f>'Monthly Labor'!C21*Assumptions!$F$36</f>
        <v>8000</v>
      </c>
      <c r="D35" s="58">
        <f>'Monthly Labor'!D21*Assumptions!$F$36</f>
        <v>8000</v>
      </c>
      <c r="E35" s="58">
        <f>'Monthly Labor'!E21*Assumptions!$F$36</f>
        <v>8000</v>
      </c>
      <c r="F35" s="58">
        <f>'Monthly Labor'!F21*Assumptions!$F$36</f>
        <v>4000</v>
      </c>
      <c r="G35" s="58">
        <f>'Monthly Labor'!G21*Assumptions!$F$36</f>
        <v>4000</v>
      </c>
      <c r="H35" s="58">
        <f>'Monthly Labor'!H21*Assumptions!$F$36</f>
        <v>4000</v>
      </c>
      <c r="I35" s="58">
        <f>'Monthly Labor'!I21*Assumptions!$F$36</f>
        <v>4000</v>
      </c>
      <c r="J35" s="58">
        <f>'Monthly Labor'!J21*Assumptions!$F$36</f>
        <v>4000</v>
      </c>
      <c r="K35" s="58">
        <f>'Monthly Labor'!K21*Assumptions!$F$36</f>
        <v>12000</v>
      </c>
      <c r="L35" s="58">
        <f>'Monthly Labor'!L21*Assumptions!$F$36</f>
        <v>8000</v>
      </c>
      <c r="M35" s="58">
        <f>'Monthly Labor'!M21*Assumptions!$F$36</f>
        <v>8000</v>
      </c>
      <c r="N35" s="41">
        <f t="shared" si="0"/>
        <v>80000</v>
      </c>
    </row>
    <row r="36" spans="1:14" ht="13.15">
      <c r="A36" s="52" t="s">
        <v>145</v>
      </c>
      <c r="B36" s="58">
        <f>'Monthly Labor'!B21*Assumptions!$F$37</f>
        <v>5000</v>
      </c>
      <c r="C36" s="58">
        <f>'Monthly Labor'!C21*Assumptions!$F$37</f>
        <v>5000</v>
      </c>
      <c r="D36" s="58">
        <f>'Monthly Labor'!D21*Assumptions!$F$37</f>
        <v>5000</v>
      </c>
      <c r="E36" s="58">
        <f>'Monthly Labor'!E21*Assumptions!$F$37</f>
        <v>5000</v>
      </c>
      <c r="F36" s="58">
        <f>'Monthly Labor'!F21*Assumptions!$F$37</f>
        <v>2500</v>
      </c>
      <c r="G36" s="58">
        <f>'Monthly Labor'!G21*Assumptions!$F$37</f>
        <v>2500</v>
      </c>
      <c r="H36" s="58">
        <f>'Monthly Labor'!H21*Assumptions!$F$37</f>
        <v>2500</v>
      </c>
      <c r="I36" s="58">
        <f>'Monthly Labor'!I21*Assumptions!$F$37</f>
        <v>2500</v>
      </c>
      <c r="J36" s="58">
        <f>'Monthly Labor'!J21*Assumptions!$F$37</f>
        <v>2500</v>
      </c>
      <c r="K36" s="58">
        <f>'Monthly Labor'!K21*Assumptions!$F$37</f>
        <v>7499.9999999999991</v>
      </c>
      <c r="L36" s="58">
        <f>'Monthly Labor'!L21*Assumptions!$F$37</f>
        <v>5000</v>
      </c>
      <c r="M36" s="58">
        <f>'Monthly Labor'!M21*Assumptions!$F$37</f>
        <v>5000</v>
      </c>
      <c r="N36" s="41">
        <f t="shared" si="0"/>
        <v>50000</v>
      </c>
    </row>
    <row r="37" spans="1:14" ht="13.15">
      <c r="A37" s="52" t="s">
        <v>146</v>
      </c>
      <c r="B37" s="58">
        <f>'Monthly Labor'!B21*Assumptions!$F$38</f>
        <v>2500</v>
      </c>
      <c r="C37" s="58">
        <f>'Monthly Labor'!C21*Assumptions!$F$38</f>
        <v>2500</v>
      </c>
      <c r="D37" s="58">
        <f>'Monthly Labor'!D21*Assumptions!$F$38</f>
        <v>2500</v>
      </c>
      <c r="E37" s="58">
        <f>'Monthly Labor'!E21*Assumptions!$F$38</f>
        <v>2500</v>
      </c>
      <c r="F37" s="58">
        <f>'Monthly Labor'!F21*Assumptions!$F$38</f>
        <v>1250</v>
      </c>
      <c r="G37" s="58">
        <f>'Monthly Labor'!G21*Assumptions!$F$38</f>
        <v>1250</v>
      </c>
      <c r="H37" s="58">
        <f>'Monthly Labor'!H21*Assumptions!$F$38</f>
        <v>1250</v>
      </c>
      <c r="I37" s="58">
        <f>'Monthly Labor'!I21*Assumptions!$F$38</f>
        <v>1250</v>
      </c>
      <c r="J37" s="58">
        <f>'Monthly Labor'!J21*Assumptions!$F$38</f>
        <v>1250</v>
      </c>
      <c r="K37" s="58">
        <f>'Monthly Labor'!K21*Assumptions!$F$38</f>
        <v>3749.9999999999995</v>
      </c>
      <c r="L37" s="58">
        <f>'Monthly Labor'!L21*Assumptions!$F$38</f>
        <v>2500</v>
      </c>
      <c r="M37" s="58">
        <f>'Monthly Labor'!M21*Assumptions!$F$38</f>
        <v>2500</v>
      </c>
      <c r="N37" s="41">
        <f t="shared" si="0"/>
        <v>25000</v>
      </c>
    </row>
    <row r="38" spans="1:14" ht="13.15">
      <c r="A38" s="52" t="s">
        <v>46</v>
      </c>
      <c r="B38" s="59">
        <f>'Monthly Labor'!B21*Assumptions!$F$39</f>
        <v>3000</v>
      </c>
      <c r="C38" s="59">
        <f>'Monthly Labor'!C21*Assumptions!$F$39</f>
        <v>3000</v>
      </c>
      <c r="D38" s="59">
        <f>'Monthly Labor'!D21*Assumptions!$F$39</f>
        <v>3000</v>
      </c>
      <c r="E38" s="59">
        <f>'Monthly Labor'!E21*Assumptions!$F$39</f>
        <v>3000</v>
      </c>
      <c r="F38" s="59">
        <f>'Monthly Labor'!F21*Assumptions!$F$39</f>
        <v>1500</v>
      </c>
      <c r="G38" s="59">
        <f>'Monthly Labor'!G21*Assumptions!$F$39</f>
        <v>1500</v>
      </c>
      <c r="H38" s="59">
        <f>'Monthly Labor'!H21*Assumptions!$F$39</f>
        <v>1500</v>
      </c>
      <c r="I38" s="59">
        <f>'Monthly Labor'!I21*Assumptions!$F$39</f>
        <v>1500</v>
      </c>
      <c r="J38" s="59">
        <f>'Monthly Labor'!J21*Assumptions!$F$39</f>
        <v>1500</v>
      </c>
      <c r="K38" s="59">
        <f>'Monthly Labor'!K21*Assumptions!$F$39</f>
        <v>4500</v>
      </c>
      <c r="L38" s="59">
        <f>'Monthly Labor'!L21*Assumptions!$F$39</f>
        <v>3000</v>
      </c>
      <c r="M38" s="59">
        <f>'Monthly Labor'!M21*Assumptions!$F$39</f>
        <v>3000</v>
      </c>
      <c r="N38" s="60">
        <f t="shared" si="0"/>
        <v>30000</v>
      </c>
    </row>
    <row r="39" spans="1:14" ht="13.15">
      <c r="A39" s="19" t="s">
        <v>156</v>
      </c>
      <c r="B39" s="58">
        <f t="shared" ref="B39:M39" si="5">SUM(B34:B38)</f>
        <v>28500</v>
      </c>
      <c r="C39" s="58">
        <f t="shared" si="5"/>
        <v>28500</v>
      </c>
      <c r="D39" s="58">
        <f t="shared" si="5"/>
        <v>28500</v>
      </c>
      <c r="E39" s="58">
        <f t="shared" si="5"/>
        <v>28500</v>
      </c>
      <c r="F39" s="58">
        <f t="shared" si="5"/>
        <v>14250</v>
      </c>
      <c r="G39" s="58">
        <f t="shared" si="5"/>
        <v>14250</v>
      </c>
      <c r="H39" s="58">
        <f t="shared" si="5"/>
        <v>14250</v>
      </c>
      <c r="I39" s="58">
        <f t="shared" si="5"/>
        <v>14250</v>
      </c>
      <c r="J39" s="58">
        <f t="shared" si="5"/>
        <v>14250</v>
      </c>
      <c r="K39" s="58">
        <f t="shared" si="5"/>
        <v>42750</v>
      </c>
      <c r="L39" s="58">
        <f t="shared" si="5"/>
        <v>28500</v>
      </c>
      <c r="M39" s="58">
        <f t="shared" si="5"/>
        <v>28500</v>
      </c>
      <c r="N39" s="41">
        <f t="shared" si="0"/>
        <v>285000</v>
      </c>
    </row>
    <row r="40" spans="1:14" ht="15.75" customHeight="1">
      <c r="A40" s="1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3.5" thickBot="1">
      <c r="A41" s="19" t="s">
        <v>157</v>
      </c>
      <c r="B41" s="65">
        <f t="shared" ref="B41:M41" si="6">B31+B39</f>
        <v>34200</v>
      </c>
      <c r="C41" s="65">
        <f t="shared" si="6"/>
        <v>34200</v>
      </c>
      <c r="D41" s="65">
        <f t="shared" si="6"/>
        <v>37050</v>
      </c>
      <c r="E41" s="65">
        <f t="shared" si="6"/>
        <v>39900</v>
      </c>
      <c r="F41" s="65">
        <f t="shared" si="6"/>
        <v>34200</v>
      </c>
      <c r="G41" s="65">
        <f t="shared" si="6"/>
        <v>37050</v>
      </c>
      <c r="H41" s="65">
        <f t="shared" si="6"/>
        <v>39900</v>
      </c>
      <c r="I41" s="65">
        <f t="shared" si="6"/>
        <v>42750</v>
      </c>
      <c r="J41" s="65">
        <f t="shared" si="6"/>
        <v>45600</v>
      </c>
      <c r="K41" s="65">
        <f t="shared" si="6"/>
        <v>82650</v>
      </c>
      <c r="L41" s="65">
        <f t="shared" si="6"/>
        <v>71250</v>
      </c>
      <c r="M41" s="65">
        <f t="shared" si="6"/>
        <v>71250</v>
      </c>
      <c r="N41" s="62">
        <f t="shared" si="0"/>
        <v>570000</v>
      </c>
    </row>
    <row r="42" spans="1:14" ht="15.75" customHeight="1" thickTop="1">
      <c r="A42" s="1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13.5" thickBot="1">
      <c r="A43" s="19" t="s">
        <v>158</v>
      </c>
      <c r="B43" s="61">
        <f t="shared" ref="B43:M43" si="7">B22+B41</f>
        <v>76200</v>
      </c>
      <c r="C43" s="61">
        <f t="shared" si="7"/>
        <v>76200</v>
      </c>
      <c r="D43" s="61">
        <f t="shared" si="7"/>
        <v>82050</v>
      </c>
      <c r="E43" s="61">
        <f t="shared" si="7"/>
        <v>87900</v>
      </c>
      <c r="F43" s="61">
        <f t="shared" si="7"/>
        <v>73200</v>
      </c>
      <c r="G43" s="61">
        <f t="shared" si="7"/>
        <v>79050</v>
      </c>
      <c r="H43" s="61">
        <f t="shared" si="7"/>
        <v>84900</v>
      </c>
      <c r="I43" s="61">
        <f t="shared" si="7"/>
        <v>90750</v>
      </c>
      <c r="J43" s="61">
        <f t="shared" si="7"/>
        <v>96600</v>
      </c>
      <c r="K43" s="61">
        <f t="shared" si="7"/>
        <v>178650</v>
      </c>
      <c r="L43" s="61">
        <f t="shared" si="7"/>
        <v>152250</v>
      </c>
      <c r="M43" s="61">
        <f t="shared" si="7"/>
        <v>152250</v>
      </c>
      <c r="N43" s="62">
        <f t="shared" si="0"/>
        <v>1230000</v>
      </c>
    </row>
    <row r="44" spans="1:14" ht="15.75" customHeight="1" thickTop="1"/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O12"/>
  <sheetViews>
    <sheetView workbookViewId="0">
      <pane xSplit="1" topLeftCell="B1" activePane="topRight" state="frozen"/>
      <selection pane="topRight" activeCell="A15" sqref="A15"/>
    </sheetView>
  </sheetViews>
  <sheetFormatPr defaultColWidth="14.28515625" defaultRowHeight="15.75" customHeight="1"/>
  <cols>
    <col min="1" max="1" width="42.5703125" customWidth="1"/>
  </cols>
  <sheetData>
    <row r="1" spans="1:15" ht="22.15">
      <c r="A1" s="84" t="s">
        <v>0</v>
      </c>
      <c r="B1" s="85"/>
      <c r="C1" s="85"/>
    </row>
    <row r="2" spans="1:15" ht="15.75" customHeight="1">
      <c r="A2" s="17" t="s">
        <v>159</v>
      </c>
      <c r="B2" s="18"/>
      <c r="C2" s="18"/>
    </row>
    <row r="3" spans="1:15" ht="15.75" customHeight="1">
      <c r="A3" s="17" t="s">
        <v>2</v>
      </c>
      <c r="B3" s="18"/>
      <c r="C3" s="18"/>
    </row>
    <row r="4" spans="1:15" ht="15.75" customHeight="1">
      <c r="A4" s="3"/>
      <c r="B4" s="7" t="s">
        <v>78</v>
      </c>
      <c r="C4" s="7" t="s">
        <v>79</v>
      </c>
      <c r="D4" s="7" t="s">
        <v>80</v>
      </c>
      <c r="E4" s="7" t="s">
        <v>81</v>
      </c>
      <c r="F4" s="7" t="s">
        <v>14</v>
      </c>
      <c r="G4" s="7" t="s">
        <v>16</v>
      </c>
      <c r="H4" s="7" t="s">
        <v>21</v>
      </c>
      <c r="I4" s="7" t="s">
        <v>82</v>
      </c>
      <c r="J4" s="7" t="s">
        <v>83</v>
      </c>
      <c r="K4" s="7" t="s">
        <v>84</v>
      </c>
      <c r="L4" s="7" t="s">
        <v>85</v>
      </c>
      <c r="M4" s="7" t="s">
        <v>86</v>
      </c>
      <c r="N4" s="27" t="s">
        <v>160</v>
      </c>
      <c r="O4" s="7"/>
    </row>
    <row r="5" spans="1:15" ht="15">
      <c r="A5" s="17" t="s">
        <v>161</v>
      </c>
    </row>
    <row r="6" spans="1:15" ht="15">
      <c r="A6" s="76" t="s">
        <v>57</v>
      </c>
      <c r="B6" s="58">
        <f>Assumptions!$C$52/12</f>
        <v>12500</v>
      </c>
      <c r="C6" s="58">
        <f>Assumptions!$C$52/12</f>
        <v>12500</v>
      </c>
      <c r="D6" s="58">
        <f>Assumptions!$C$52/12</f>
        <v>12500</v>
      </c>
      <c r="E6" s="58">
        <f>Assumptions!$C$52/12</f>
        <v>12500</v>
      </c>
      <c r="F6" s="58">
        <f>Assumptions!$C$52/12</f>
        <v>12500</v>
      </c>
      <c r="G6" s="58">
        <f>Assumptions!$C$52/12</f>
        <v>12500</v>
      </c>
      <c r="H6" s="58">
        <f>Assumptions!$C$52/12</f>
        <v>12500</v>
      </c>
      <c r="I6" s="58">
        <f>Assumptions!$C$52/12</f>
        <v>12500</v>
      </c>
      <c r="J6" s="58">
        <f>Assumptions!$C$52/12</f>
        <v>12500</v>
      </c>
      <c r="K6" s="58">
        <f>Assumptions!$C$52/12</f>
        <v>12500</v>
      </c>
      <c r="L6" s="58">
        <f>Assumptions!$C$52/12</f>
        <v>12500</v>
      </c>
      <c r="M6" s="58">
        <f>Assumptions!$C$52/12</f>
        <v>12500</v>
      </c>
      <c r="N6" s="58">
        <f t="shared" ref="N6:N10" si="0">SUM(B6:M6)</f>
        <v>150000</v>
      </c>
    </row>
    <row r="7" spans="1:15" ht="15">
      <c r="A7" s="76" t="s">
        <v>58</v>
      </c>
      <c r="B7" s="58">
        <f>Assumptions!$C$53/12</f>
        <v>4166.666666666667</v>
      </c>
      <c r="C7" s="58">
        <f>Assumptions!$C$53/12</f>
        <v>4166.666666666667</v>
      </c>
      <c r="D7" s="58">
        <f>Assumptions!$C$53/12</f>
        <v>4166.666666666667</v>
      </c>
      <c r="E7" s="58">
        <f>Assumptions!$C$53/12</f>
        <v>4166.666666666667</v>
      </c>
      <c r="F7" s="58">
        <f>Assumptions!$C$53/12</f>
        <v>4166.666666666667</v>
      </c>
      <c r="G7" s="58">
        <f>Assumptions!$C$53/12</f>
        <v>4166.666666666667</v>
      </c>
      <c r="H7" s="58">
        <f>Assumptions!$C$53/12</f>
        <v>4166.666666666667</v>
      </c>
      <c r="I7" s="58">
        <f>Assumptions!$C$53/12</f>
        <v>4166.666666666667</v>
      </c>
      <c r="J7" s="58">
        <f>Assumptions!$C$53/12</f>
        <v>4166.666666666667</v>
      </c>
      <c r="K7" s="58">
        <f>Assumptions!$C$53/12</f>
        <v>4166.666666666667</v>
      </c>
      <c r="L7" s="58">
        <f>Assumptions!$C$53/12</f>
        <v>4166.666666666667</v>
      </c>
      <c r="M7" s="58">
        <f>Assumptions!$C$53/12</f>
        <v>4166.666666666667</v>
      </c>
      <c r="N7" s="58">
        <f t="shared" si="0"/>
        <v>49999.999999999993</v>
      </c>
    </row>
    <row r="8" spans="1:15" ht="15">
      <c r="A8" s="76" t="s">
        <v>59</v>
      </c>
      <c r="B8" s="58">
        <f>Assumptions!$C$54/12</f>
        <v>20833.333333333332</v>
      </c>
      <c r="C8" s="58">
        <f>Assumptions!$C$54/12</f>
        <v>20833.333333333332</v>
      </c>
      <c r="D8" s="58">
        <f>Assumptions!$C$54/12</f>
        <v>20833.333333333332</v>
      </c>
      <c r="E8" s="58">
        <f>Assumptions!$C$54/12</f>
        <v>20833.333333333332</v>
      </c>
      <c r="F8" s="58">
        <f>Assumptions!$C$54/12</f>
        <v>20833.333333333332</v>
      </c>
      <c r="G8" s="58">
        <f>Assumptions!$C$54/12</f>
        <v>20833.333333333332</v>
      </c>
      <c r="H8" s="58">
        <f>Assumptions!$C$54/12</f>
        <v>20833.333333333332</v>
      </c>
      <c r="I8" s="58">
        <f>Assumptions!$C$54/12</f>
        <v>20833.333333333332</v>
      </c>
      <c r="J8" s="58">
        <f>Assumptions!$C$54/12</f>
        <v>20833.333333333332</v>
      </c>
      <c r="K8" s="58">
        <f>Assumptions!$C$54/12</f>
        <v>20833.333333333332</v>
      </c>
      <c r="L8" s="58">
        <f>Assumptions!$C$54/12</f>
        <v>20833.333333333332</v>
      </c>
      <c r="M8" s="58">
        <f>Assumptions!$C$54/12</f>
        <v>20833.333333333332</v>
      </c>
      <c r="N8" s="58">
        <f t="shared" si="0"/>
        <v>250000.00000000003</v>
      </c>
    </row>
    <row r="9" spans="1:15" ht="15">
      <c r="A9" s="76" t="s">
        <v>60</v>
      </c>
      <c r="B9" s="58">
        <f>Assumptions!$C$55/12</f>
        <v>12500</v>
      </c>
      <c r="C9" s="58">
        <f>Assumptions!$C$55/12</f>
        <v>12500</v>
      </c>
      <c r="D9" s="58">
        <f>Assumptions!$C$55/12</f>
        <v>12500</v>
      </c>
      <c r="E9" s="58">
        <f>Assumptions!$C$55/12</f>
        <v>12500</v>
      </c>
      <c r="F9" s="58">
        <f>Assumptions!$C$55/12</f>
        <v>12500</v>
      </c>
      <c r="G9" s="58">
        <f>Assumptions!$C$55/12</f>
        <v>12500</v>
      </c>
      <c r="H9" s="58">
        <f>Assumptions!$C$55/12</f>
        <v>12500</v>
      </c>
      <c r="I9" s="58">
        <f>Assumptions!$C$55/12</f>
        <v>12500</v>
      </c>
      <c r="J9" s="58">
        <f>Assumptions!$C$55/12</f>
        <v>12500</v>
      </c>
      <c r="K9" s="58">
        <f>Assumptions!$C$55/12</f>
        <v>12500</v>
      </c>
      <c r="L9" s="58">
        <f>Assumptions!$C$55/12</f>
        <v>12500</v>
      </c>
      <c r="M9" s="58">
        <f>Assumptions!$C$55/12</f>
        <v>12500</v>
      </c>
      <c r="N9" s="58">
        <f t="shared" si="0"/>
        <v>150000</v>
      </c>
    </row>
    <row r="10" spans="1:15" ht="15">
      <c r="A10" s="76" t="s">
        <v>61</v>
      </c>
      <c r="B10" s="59">
        <f>Assumptions!$C$56/12</f>
        <v>4166.666666666667</v>
      </c>
      <c r="C10" s="59">
        <f>Assumptions!$C$56/12</f>
        <v>4166.666666666667</v>
      </c>
      <c r="D10" s="59">
        <f>Assumptions!$C$56/12</f>
        <v>4166.666666666667</v>
      </c>
      <c r="E10" s="59">
        <f>Assumptions!$C$56/12</f>
        <v>4166.666666666667</v>
      </c>
      <c r="F10" s="59">
        <f>Assumptions!$C$56/12</f>
        <v>4166.666666666667</v>
      </c>
      <c r="G10" s="59">
        <f>Assumptions!$C$56/12</f>
        <v>4166.666666666667</v>
      </c>
      <c r="H10" s="59">
        <f>Assumptions!$C$56/12</f>
        <v>4166.666666666667</v>
      </c>
      <c r="I10" s="59">
        <f>Assumptions!$C$56/12</f>
        <v>4166.666666666667</v>
      </c>
      <c r="J10" s="59">
        <f>Assumptions!$C$56/12</f>
        <v>4166.666666666667</v>
      </c>
      <c r="K10" s="59">
        <f>Assumptions!$C$56/12</f>
        <v>4166.666666666667</v>
      </c>
      <c r="L10" s="59">
        <f>Assumptions!$C$56/12</f>
        <v>4166.666666666667</v>
      </c>
      <c r="M10" s="59">
        <f>Assumptions!$C$56/12</f>
        <v>4166.666666666667</v>
      </c>
      <c r="N10" s="59">
        <f t="shared" si="0"/>
        <v>49999.999999999993</v>
      </c>
    </row>
    <row r="11" spans="1:15" ht="15.4" thickBot="1">
      <c r="A11" s="3" t="s">
        <v>162</v>
      </c>
      <c r="B11" s="77">
        <f>SUM(B6:B10)</f>
        <v>54166.666666666664</v>
      </c>
      <c r="C11" s="77">
        <f t="shared" ref="C11:N11" si="1">SUM(C6:C10)</f>
        <v>54166.666666666664</v>
      </c>
      <c r="D11" s="77">
        <f t="shared" si="1"/>
        <v>54166.666666666664</v>
      </c>
      <c r="E11" s="77">
        <f t="shared" si="1"/>
        <v>54166.666666666664</v>
      </c>
      <c r="F11" s="77">
        <f t="shared" si="1"/>
        <v>54166.666666666664</v>
      </c>
      <c r="G11" s="77">
        <f t="shared" si="1"/>
        <v>54166.666666666664</v>
      </c>
      <c r="H11" s="77">
        <f t="shared" si="1"/>
        <v>54166.666666666664</v>
      </c>
      <c r="I11" s="77">
        <f t="shared" si="1"/>
        <v>54166.666666666664</v>
      </c>
      <c r="J11" s="77">
        <f t="shared" si="1"/>
        <v>54166.666666666664</v>
      </c>
      <c r="K11" s="77">
        <f t="shared" si="1"/>
        <v>54166.666666666664</v>
      </c>
      <c r="L11" s="77">
        <f t="shared" si="1"/>
        <v>54166.666666666664</v>
      </c>
      <c r="M11" s="77">
        <f t="shared" si="1"/>
        <v>54166.666666666664</v>
      </c>
      <c r="N11" s="77">
        <f t="shared" si="1"/>
        <v>650000</v>
      </c>
    </row>
    <row r="12" spans="1:15" ht="15.4" thickTop="1">
      <c r="A12" s="3"/>
    </row>
  </sheetData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32"/>
  <sheetViews>
    <sheetView workbookViewId="0">
      <pane xSplit="1" topLeftCell="B1" activePane="topRight" state="frozen"/>
      <selection pane="topRight" activeCell="G15" sqref="G15"/>
      <selection activeCell="A4" sqref="A4"/>
    </sheetView>
  </sheetViews>
  <sheetFormatPr defaultColWidth="14.28515625" defaultRowHeight="15.75" customHeight="1"/>
  <cols>
    <col min="1" max="1" width="24.5703125" customWidth="1"/>
    <col min="2" max="2" width="18.7109375" customWidth="1"/>
    <col min="4" max="4" width="19.85546875" customWidth="1"/>
  </cols>
  <sheetData>
    <row r="1" spans="1:5" ht="22.15">
      <c r="A1" s="84" t="s">
        <v>0</v>
      </c>
      <c r="B1" s="85"/>
      <c r="C1" s="85"/>
    </row>
    <row r="2" spans="1:5" ht="15">
      <c r="A2" s="17" t="s">
        <v>163</v>
      </c>
      <c r="B2" s="18"/>
      <c r="C2" s="18"/>
    </row>
    <row r="3" spans="1:5" ht="15">
      <c r="A3" s="17" t="s">
        <v>2</v>
      </c>
      <c r="B3" s="18"/>
      <c r="C3" s="18"/>
    </row>
    <row r="4" spans="1:5" ht="13.15">
      <c r="A4" s="18"/>
      <c r="B4" s="19" t="s">
        <v>164</v>
      </c>
      <c r="C4" s="19" t="s">
        <v>165</v>
      </c>
      <c r="D4" s="19" t="s">
        <v>166</v>
      </c>
      <c r="E4" s="19" t="s">
        <v>33</v>
      </c>
    </row>
    <row r="5" spans="1:5" ht="13.15">
      <c r="A5" s="19" t="s">
        <v>3</v>
      </c>
    </row>
    <row r="6" spans="1:5" ht="13.15">
      <c r="A6" s="19" t="s">
        <v>17</v>
      </c>
    </row>
    <row r="7" spans="1:5" ht="13.15">
      <c r="A7" s="52" t="s">
        <v>22</v>
      </c>
      <c r="B7" s="4">
        <f>Assumptions!E13</f>
        <v>2.5</v>
      </c>
      <c r="C7" s="1">
        <f>Assumptions!$D$13</f>
        <v>2</v>
      </c>
      <c r="D7" s="4">
        <f t="shared" ref="D7:D8" si="0">B7*C7</f>
        <v>5</v>
      </c>
    </row>
    <row r="8" spans="1:5" ht="13.15">
      <c r="A8" s="52" t="s">
        <v>24</v>
      </c>
      <c r="B8" s="4">
        <f>Assumptions!E14</f>
        <v>2</v>
      </c>
      <c r="C8" s="1">
        <f>Assumptions!$D$14</f>
        <v>1.5</v>
      </c>
      <c r="D8" s="4">
        <f t="shared" si="0"/>
        <v>3</v>
      </c>
    </row>
    <row r="9" spans="1:5" ht="13.15">
      <c r="A9" s="19" t="s">
        <v>167</v>
      </c>
      <c r="D9" s="4"/>
      <c r="E9" s="4">
        <f>SUM(D7:D8)</f>
        <v>8</v>
      </c>
    </row>
    <row r="10" spans="1:5" ht="13.15">
      <c r="A10" s="19" t="s">
        <v>168</v>
      </c>
      <c r="D10" s="4"/>
    </row>
    <row r="11" spans="1:5" ht="13.15">
      <c r="A11" s="52" t="s">
        <v>169</v>
      </c>
      <c r="B11" s="4">
        <f>Assumptions!E17</f>
        <v>9.4499999999999993</v>
      </c>
      <c r="C11" s="1">
        <f>Assumptions!D17</f>
        <v>0.2</v>
      </c>
      <c r="D11" s="4">
        <f t="shared" ref="D11:D12" si="1">B11*C11</f>
        <v>1.89</v>
      </c>
    </row>
    <row r="12" spans="1:5" ht="13.15">
      <c r="A12" s="52" t="s">
        <v>170</v>
      </c>
      <c r="B12" s="4">
        <f>Assumptions!E18</f>
        <v>9.4499999999999993</v>
      </c>
      <c r="C12" s="1">
        <f>Assumptions!D18</f>
        <v>0.1</v>
      </c>
      <c r="D12" s="4">
        <f t="shared" si="1"/>
        <v>0.94499999999999995</v>
      </c>
    </row>
    <row r="13" spans="1:5" ht="13.15">
      <c r="A13" s="19" t="s">
        <v>171</v>
      </c>
      <c r="E13" s="4">
        <f>SUM(D11:D12)</f>
        <v>2.835</v>
      </c>
    </row>
    <row r="14" spans="1:5" ht="13.15">
      <c r="A14" s="19"/>
    </row>
    <row r="15" spans="1:5" ht="13.15">
      <c r="A15" s="19" t="s">
        <v>172</v>
      </c>
      <c r="B15" s="12">
        <f>Assumptions!C40+Assumptions!C49</f>
        <v>15</v>
      </c>
      <c r="C15" s="1">
        <f>C11+C12</f>
        <v>0.30000000000000004</v>
      </c>
      <c r="D15" s="12">
        <f>B15*C15</f>
        <v>4.5000000000000009</v>
      </c>
      <c r="E15" s="55">
        <f>D15</f>
        <v>4.5000000000000009</v>
      </c>
    </row>
    <row r="16" spans="1:5" ht="15.75" customHeight="1">
      <c r="A16" s="18"/>
    </row>
    <row r="17" spans="1:5" ht="15.75" customHeight="1" thickBot="1">
      <c r="A17" s="19" t="s">
        <v>173</v>
      </c>
      <c r="E17" s="56">
        <f>SUM(E9+E13+E15)</f>
        <v>15.335000000000001</v>
      </c>
    </row>
    <row r="18" spans="1:5" ht="15.75" customHeight="1" thickTop="1">
      <c r="A18" s="18"/>
    </row>
    <row r="19" spans="1:5" ht="13.15">
      <c r="A19" s="19" t="s">
        <v>4</v>
      </c>
    </row>
    <row r="20" spans="1:5" ht="13.15">
      <c r="A20" s="19" t="s">
        <v>174</v>
      </c>
    </row>
    <row r="21" spans="1:5" ht="13.15">
      <c r="A21" s="52" t="s">
        <v>24</v>
      </c>
      <c r="B21" s="4">
        <f>Assumptions!H14</f>
        <v>2</v>
      </c>
      <c r="C21" s="1">
        <f>Assumptions!G14</f>
        <v>1.5</v>
      </c>
      <c r="D21" s="4">
        <f t="shared" ref="D21:D22" si="2">B21*C21</f>
        <v>3</v>
      </c>
    </row>
    <row r="22" spans="1:5" ht="13.15">
      <c r="A22" s="52" t="s">
        <v>26</v>
      </c>
      <c r="B22" s="4">
        <f>Assumptions!H15</f>
        <v>1.25</v>
      </c>
      <c r="C22" s="1">
        <f>Assumptions!G15</f>
        <v>2</v>
      </c>
      <c r="D22" s="4">
        <f t="shared" si="2"/>
        <v>2.5</v>
      </c>
    </row>
    <row r="23" spans="1:5" ht="13.15">
      <c r="A23" s="19" t="s">
        <v>167</v>
      </c>
      <c r="D23" s="4"/>
      <c r="E23" s="4">
        <f>SUM(D21:D22)</f>
        <v>5.5</v>
      </c>
    </row>
    <row r="24" spans="1:5" ht="13.15">
      <c r="A24" s="19" t="s">
        <v>168</v>
      </c>
      <c r="D24" s="4"/>
    </row>
    <row r="25" spans="1:5" ht="13.15">
      <c r="A25" s="52" t="s">
        <v>170</v>
      </c>
      <c r="B25" s="4">
        <f>Assumptions!H18</f>
        <v>9.4499999999999993</v>
      </c>
      <c r="C25" s="1">
        <f>Assumptions!G18</f>
        <v>0.15</v>
      </c>
      <c r="D25" s="4">
        <f t="shared" ref="D25:D26" si="3">B25*C25</f>
        <v>1.4174999999999998</v>
      </c>
    </row>
    <row r="26" spans="1:5" ht="13.15">
      <c r="A26" s="52" t="s">
        <v>175</v>
      </c>
      <c r="B26" s="4">
        <f>Assumptions!H19</f>
        <v>9.4499999999999993</v>
      </c>
      <c r="C26" s="1">
        <f>Assumptions!G19</f>
        <v>0.15</v>
      </c>
      <c r="D26" s="4">
        <f t="shared" si="3"/>
        <v>1.4174999999999998</v>
      </c>
    </row>
    <row r="27" spans="1:5" ht="13.15">
      <c r="A27" s="19" t="s">
        <v>171</v>
      </c>
      <c r="E27" s="4">
        <f>SUM(D25:D26)</f>
        <v>2.8349999999999995</v>
      </c>
    </row>
    <row r="28" spans="1:5" ht="13.15">
      <c r="A28" s="19"/>
    </row>
    <row r="29" spans="1:5" ht="13.15">
      <c r="A29" s="19" t="s">
        <v>172</v>
      </c>
      <c r="B29" s="12">
        <f>Assumptions!F40+Assumptions!F49</f>
        <v>13.870000000000001</v>
      </c>
      <c r="C29" s="1">
        <f>C25+C26</f>
        <v>0.3</v>
      </c>
      <c r="D29" s="12">
        <f>B29*C29</f>
        <v>4.1610000000000005</v>
      </c>
      <c r="E29" s="55">
        <f>D29</f>
        <v>4.1610000000000005</v>
      </c>
    </row>
    <row r="30" spans="1:5" ht="15.75" customHeight="1">
      <c r="A30" s="18"/>
    </row>
    <row r="31" spans="1:5" ht="15.75" customHeight="1" thickBot="1">
      <c r="A31" s="19" t="s">
        <v>176</v>
      </c>
      <c r="E31" s="56">
        <f>E23+E27+E29</f>
        <v>12.495999999999999</v>
      </c>
    </row>
    <row r="32" spans="1:5" ht="15.75" customHeight="1" thickTop="1"/>
  </sheetData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E13"/>
  <sheetViews>
    <sheetView workbookViewId="0">
      <selection activeCell="D15" sqref="D15"/>
    </sheetView>
  </sheetViews>
  <sheetFormatPr defaultColWidth="14.28515625" defaultRowHeight="15.75" customHeight="1"/>
  <cols>
    <col min="2" max="2" width="19.85546875" customWidth="1"/>
    <col min="5" max="5" width="27.5703125" bestFit="1" customWidth="1"/>
  </cols>
  <sheetData>
    <row r="1" spans="1:5" ht="22.15">
      <c r="A1" s="84" t="s">
        <v>0</v>
      </c>
      <c r="B1" s="85"/>
    </row>
    <row r="2" spans="1:5" ht="15.75" customHeight="1">
      <c r="A2" s="17" t="s">
        <v>177</v>
      </c>
      <c r="B2" s="18"/>
    </row>
    <row r="3" spans="1:5" ht="15.75" customHeight="1">
      <c r="A3" s="17" t="s">
        <v>2</v>
      </c>
      <c r="B3" s="18"/>
    </row>
    <row r="4" spans="1:5" ht="13.15">
      <c r="A4" s="19" t="s">
        <v>17</v>
      </c>
      <c r="B4" s="19" t="s">
        <v>20</v>
      </c>
      <c r="C4" s="19" t="s">
        <v>178</v>
      </c>
      <c r="D4" s="18"/>
      <c r="E4" s="19" t="s">
        <v>179</v>
      </c>
    </row>
    <row r="5" spans="1:5" ht="13.15">
      <c r="A5" s="19" t="s">
        <v>22</v>
      </c>
      <c r="B5" s="4">
        <f>Assumptions!F13</f>
        <v>5</v>
      </c>
      <c r="C5" s="45">
        <f>Assumptions!C23</f>
        <v>5240</v>
      </c>
      <c r="D5" s="58">
        <f t="shared" ref="D5:D7" si="0">B5*C5</f>
        <v>26200</v>
      </c>
    </row>
    <row r="6" spans="1:5" ht="13.15">
      <c r="A6" s="19" t="s">
        <v>24</v>
      </c>
      <c r="B6" s="4">
        <f>Assumptions!F14</f>
        <v>3</v>
      </c>
      <c r="C6" s="45">
        <f>Assumptions!C24</f>
        <v>23580</v>
      </c>
      <c r="D6" s="58">
        <f t="shared" si="0"/>
        <v>70740</v>
      </c>
    </row>
    <row r="7" spans="1:5" ht="13.15">
      <c r="A7" s="19" t="s">
        <v>26</v>
      </c>
      <c r="B7" s="4">
        <f>Assumptions!I15</f>
        <v>2.5</v>
      </c>
      <c r="C7" s="45">
        <f>Assumptions!C25</f>
        <v>26200</v>
      </c>
      <c r="D7" s="59">
        <f t="shared" si="0"/>
        <v>65500</v>
      </c>
    </row>
    <row r="8" spans="1:5" ht="15.75" customHeight="1" thickBot="1">
      <c r="A8" s="19"/>
      <c r="E8" s="61">
        <f>SUM(D5:D7)</f>
        <v>162440</v>
      </c>
    </row>
    <row r="9" spans="1:5" ht="13.5" thickTop="1">
      <c r="A9" s="19" t="s">
        <v>39</v>
      </c>
      <c r="B9" s="19" t="s">
        <v>20</v>
      </c>
      <c r="C9" s="19" t="s">
        <v>178</v>
      </c>
      <c r="E9" s="19" t="s">
        <v>180</v>
      </c>
    </row>
    <row r="10" spans="1:5" ht="13.15">
      <c r="A10" s="19" t="s">
        <v>3</v>
      </c>
      <c r="B10" s="58">
        <f>'Unit Cost'!E17</f>
        <v>15.335000000000001</v>
      </c>
      <c r="C10" s="45">
        <f>Assumptions!C30</f>
        <v>6000</v>
      </c>
      <c r="D10" s="58">
        <f t="shared" ref="D10:D11" si="1">C10*B10</f>
        <v>92010</v>
      </c>
      <c r="E10" s="41"/>
    </row>
    <row r="11" spans="1:5" ht="13.15">
      <c r="A11" s="19" t="s">
        <v>4</v>
      </c>
      <c r="B11" s="58">
        <f>'Unit Cost'!E31</f>
        <v>12.495999999999999</v>
      </c>
      <c r="C11" s="45">
        <f>Assumptions!C31</f>
        <v>5000</v>
      </c>
      <c r="D11" s="59">
        <f t="shared" si="1"/>
        <v>62479.999999999993</v>
      </c>
    </row>
    <row r="12" spans="1:5" ht="15.75" customHeight="1" thickBot="1">
      <c r="E12" s="61">
        <f>SUM(D10:D11)</f>
        <v>154490</v>
      </c>
    </row>
    <row r="13" spans="1:5" ht="15.75" customHeight="1" thickTop="1"/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N36"/>
  <sheetViews>
    <sheetView workbookViewId="0">
      <pane xSplit="1" topLeftCell="B1" activePane="topRight" state="frozen"/>
      <selection pane="topRight" activeCell="B5" sqref="B5"/>
    </sheetView>
  </sheetViews>
  <sheetFormatPr defaultColWidth="14.28515625" defaultRowHeight="15.75" customHeight="1"/>
  <sheetData>
    <row r="1" spans="1:14" ht="22.15">
      <c r="A1" s="38" t="s">
        <v>0</v>
      </c>
      <c r="B1" s="38"/>
      <c r="C1" s="38"/>
    </row>
    <row r="2" spans="1:14" ht="15">
      <c r="A2" s="17" t="s">
        <v>181</v>
      </c>
      <c r="B2" s="18"/>
    </row>
    <row r="3" spans="1:14" ht="15">
      <c r="A3" s="17" t="s">
        <v>2</v>
      </c>
      <c r="B3" s="18"/>
    </row>
    <row r="4" spans="1:14" ht="13.15"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8"/>
    </row>
    <row r="5" spans="1:14" ht="13.15">
      <c r="A5" s="19" t="s">
        <v>17</v>
      </c>
    </row>
    <row r="6" spans="1:14" ht="13.15">
      <c r="A6" s="19" t="s">
        <v>22</v>
      </c>
    </row>
    <row r="7" spans="1:14" ht="13.15">
      <c r="A7" s="19" t="s">
        <v>182</v>
      </c>
      <c r="B7" s="50">
        <v>0</v>
      </c>
      <c r="C7" s="45">
        <f t="shared" ref="C7:M7" si="0">B10</f>
        <v>104.80000000000018</v>
      </c>
      <c r="D7" s="45">
        <f t="shared" si="0"/>
        <v>209.60000000000036</v>
      </c>
      <c r="E7" s="45">
        <f t="shared" si="0"/>
        <v>366.79999999999927</v>
      </c>
      <c r="F7" s="45">
        <f t="shared" si="0"/>
        <v>576.39999999999964</v>
      </c>
      <c r="G7" s="45">
        <f t="shared" si="0"/>
        <v>943.20000000000437</v>
      </c>
      <c r="H7" s="45">
        <f t="shared" si="0"/>
        <v>1362.4000000000051</v>
      </c>
      <c r="I7" s="45">
        <f t="shared" si="0"/>
        <v>1834.0000000000036</v>
      </c>
      <c r="J7" s="45">
        <f t="shared" si="0"/>
        <v>2358.0000000000036</v>
      </c>
      <c r="K7" s="45">
        <f t="shared" si="0"/>
        <v>2934.4000000000051</v>
      </c>
      <c r="L7" s="45">
        <f t="shared" si="0"/>
        <v>3668.0000000000146</v>
      </c>
      <c r="M7" s="45">
        <f t="shared" si="0"/>
        <v>4454.0000000000146</v>
      </c>
    </row>
    <row r="8" spans="1:14" ht="13.15">
      <c r="A8" s="19" t="s">
        <v>183</v>
      </c>
      <c r="B8" s="45">
        <f>'Monthly Purchases'!B6</f>
        <v>5344.8</v>
      </c>
      <c r="C8" s="45">
        <f>'Monthly Purchases'!C6</f>
        <v>5344.8</v>
      </c>
      <c r="D8" s="45">
        <f>'Monthly Purchases'!D6</f>
        <v>8017.2</v>
      </c>
      <c r="E8" s="45">
        <f>'Monthly Purchases'!E6</f>
        <v>10689.6</v>
      </c>
      <c r="F8" s="45">
        <f>'Monthly Purchases'!F6</f>
        <v>18706.800000000003</v>
      </c>
      <c r="G8" s="45">
        <f>'Monthly Purchases'!G6</f>
        <v>21379.200000000001</v>
      </c>
      <c r="H8" s="45">
        <f>'Monthly Purchases'!H6</f>
        <v>24051.599999999999</v>
      </c>
      <c r="I8" s="45">
        <f>'Monthly Purchases'!I6</f>
        <v>26724</v>
      </c>
      <c r="J8" s="45">
        <f>'Monthly Purchases'!J6</f>
        <v>29396.400000000001</v>
      </c>
      <c r="K8" s="45">
        <f>'Monthly Purchases'!K6</f>
        <v>37413.600000000006</v>
      </c>
      <c r="L8" s="45">
        <f>'Monthly Purchases'!L6</f>
        <v>40086</v>
      </c>
      <c r="M8" s="45">
        <f>'Monthly Purchases'!M6</f>
        <v>40086</v>
      </c>
    </row>
    <row r="9" spans="1:14" ht="13.15">
      <c r="A9" s="19" t="s">
        <v>184</v>
      </c>
      <c r="B9" s="49">
        <f>MonthlyDMUsage!B5</f>
        <v>5240</v>
      </c>
      <c r="C9" s="49">
        <f>MonthlyDMUsage!C5</f>
        <v>5240</v>
      </c>
      <c r="D9" s="49">
        <f>MonthlyDMUsage!D5</f>
        <v>7860</v>
      </c>
      <c r="E9" s="49">
        <f>MonthlyDMUsage!E5</f>
        <v>10480</v>
      </c>
      <c r="F9" s="49">
        <f>MonthlyDMUsage!F5</f>
        <v>18340</v>
      </c>
      <c r="G9" s="49">
        <f>MonthlyDMUsage!G5</f>
        <v>20960</v>
      </c>
      <c r="H9" s="49">
        <f>MonthlyDMUsage!H5</f>
        <v>23580</v>
      </c>
      <c r="I9" s="49">
        <f>MonthlyDMUsage!I5</f>
        <v>26200</v>
      </c>
      <c r="J9" s="49">
        <f>MonthlyDMUsage!J5</f>
        <v>28820</v>
      </c>
      <c r="K9" s="49">
        <f>MonthlyDMUsage!K5</f>
        <v>36680</v>
      </c>
      <c r="L9" s="49">
        <f>MonthlyDMUsage!L5</f>
        <v>39300</v>
      </c>
      <c r="M9" s="49">
        <f>MonthlyDMUsage!M5</f>
        <v>39300</v>
      </c>
    </row>
    <row r="10" spans="1:14" ht="13.5" thickBot="1">
      <c r="A10" s="19" t="s">
        <v>185</v>
      </c>
      <c r="B10" s="78">
        <f t="shared" ref="B10:M10" si="1">B7+B8-B9</f>
        <v>104.80000000000018</v>
      </c>
      <c r="C10" s="78">
        <f t="shared" si="1"/>
        <v>209.60000000000036</v>
      </c>
      <c r="D10" s="78">
        <f t="shared" si="1"/>
        <v>366.79999999999927</v>
      </c>
      <c r="E10" s="78">
        <f t="shared" si="1"/>
        <v>576.39999999999964</v>
      </c>
      <c r="F10" s="78">
        <f t="shared" si="1"/>
        <v>943.20000000000437</v>
      </c>
      <c r="G10" s="78">
        <f t="shared" si="1"/>
        <v>1362.4000000000051</v>
      </c>
      <c r="H10" s="78">
        <f t="shared" si="1"/>
        <v>1834.0000000000036</v>
      </c>
      <c r="I10" s="78">
        <f t="shared" si="1"/>
        <v>2358.0000000000036</v>
      </c>
      <c r="J10" s="78">
        <f t="shared" si="1"/>
        <v>2934.4000000000051</v>
      </c>
      <c r="K10" s="78">
        <f t="shared" si="1"/>
        <v>3668.0000000000146</v>
      </c>
      <c r="L10" s="78">
        <f t="shared" si="1"/>
        <v>4454.0000000000146</v>
      </c>
      <c r="M10" s="78">
        <f t="shared" si="1"/>
        <v>5240.0000000000146</v>
      </c>
    </row>
    <row r="11" spans="1:14" ht="15.75" customHeight="1" thickTop="1">
      <c r="A11" s="18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4" ht="13.15">
      <c r="A12" s="19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4" ht="13.15">
      <c r="A13" s="19" t="s">
        <v>182</v>
      </c>
      <c r="B13" s="50">
        <v>0</v>
      </c>
      <c r="C13" s="45">
        <f t="shared" ref="C13:M13" si="2">B16</f>
        <v>1414.7999999999993</v>
      </c>
      <c r="D13" s="45">
        <f t="shared" si="2"/>
        <v>2829.5999999999985</v>
      </c>
      <c r="E13" s="45">
        <f t="shared" si="2"/>
        <v>4362.2999999999993</v>
      </c>
      <c r="F13" s="45">
        <f t="shared" si="2"/>
        <v>6012.8999999999942</v>
      </c>
      <c r="G13" s="45">
        <f t="shared" si="2"/>
        <v>7427.6999999999971</v>
      </c>
      <c r="H13" s="45">
        <f t="shared" si="2"/>
        <v>8960.3999999999942</v>
      </c>
      <c r="I13" s="45">
        <f t="shared" si="2"/>
        <v>10610.999999999993</v>
      </c>
      <c r="J13" s="45">
        <f t="shared" si="2"/>
        <v>12379.499999999993</v>
      </c>
      <c r="K13" s="45">
        <f t="shared" si="2"/>
        <v>14265.899999999994</v>
      </c>
      <c r="L13" s="45">
        <f t="shared" si="2"/>
        <v>17685</v>
      </c>
      <c r="M13" s="45">
        <f t="shared" si="2"/>
        <v>20632.5</v>
      </c>
    </row>
    <row r="14" spans="1:14" ht="13.15">
      <c r="A14" s="19" t="s">
        <v>183</v>
      </c>
      <c r="B14" s="45">
        <f>'Monthly Purchases'!B8+'Monthly Purchases'!B9</f>
        <v>24994.799999999999</v>
      </c>
      <c r="C14" s="45">
        <f>'Monthly Purchases'!C8+'Monthly Purchases'!C9</f>
        <v>24994.799999999999</v>
      </c>
      <c r="D14" s="45">
        <f>'Monthly Purchases'!D8+'Monthly Purchases'!D9</f>
        <v>27077.7</v>
      </c>
      <c r="E14" s="45">
        <f>'Monthly Purchases'!E8+'Monthly Purchases'!E9</f>
        <v>29160.6</v>
      </c>
      <c r="F14" s="45">
        <f>'Monthly Purchases'!F8+'Monthly Purchases'!F9</f>
        <v>24994.800000000003</v>
      </c>
      <c r="G14" s="45">
        <f>'Monthly Purchases'!G8+'Monthly Purchases'!G9</f>
        <v>27077.7</v>
      </c>
      <c r="H14" s="45">
        <f>'Monthly Purchases'!H8+'Monthly Purchases'!H9</f>
        <v>29160.6</v>
      </c>
      <c r="I14" s="45">
        <f>'Monthly Purchases'!I8+'Monthly Purchases'!I9</f>
        <v>31243.5</v>
      </c>
      <c r="J14" s="45">
        <f>'Monthly Purchases'!J8+'Monthly Purchases'!J9</f>
        <v>33326.400000000001</v>
      </c>
      <c r="K14" s="45">
        <f>'Monthly Purchases'!K8+'Monthly Purchases'!K9</f>
        <v>60404.100000000006</v>
      </c>
      <c r="L14" s="45">
        <f>'Monthly Purchases'!L8+'Monthly Purchases'!L9</f>
        <v>52072.5</v>
      </c>
      <c r="M14" s="45">
        <f>'Monthly Purchases'!M8+'Monthly Purchases'!M9</f>
        <v>52072.5</v>
      </c>
    </row>
    <row r="15" spans="1:14" ht="13.15">
      <c r="A15" s="19" t="s">
        <v>184</v>
      </c>
      <c r="B15" s="49">
        <f>MonthlyDMUsage!B7+MonthlyDMUsage!B8</f>
        <v>23580</v>
      </c>
      <c r="C15" s="49">
        <f>MonthlyDMUsage!C7+MonthlyDMUsage!C8</f>
        <v>23580</v>
      </c>
      <c r="D15" s="49">
        <f>MonthlyDMUsage!D7+MonthlyDMUsage!D8</f>
        <v>25545</v>
      </c>
      <c r="E15" s="49">
        <f>MonthlyDMUsage!E7+MonthlyDMUsage!E8</f>
        <v>27510</v>
      </c>
      <c r="F15" s="49">
        <f>MonthlyDMUsage!F7+MonthlyDMUsage!F8</f>
        <v>23580</v>
      </c>
      <c r="G15" s="49">
        <f>MonthlyDMUsage!G7+MonthlyDMUsage!G8</f>
        <v>25545</v>
      </c>
      <c r="H15" s="49">
        <f>MonthlyDMUsage!H7+MonthlyDMUsage!H8</f>
        <v>27510</v>
      </c>
      <c r="I15" s="49">
        <f>MonthlyDMUsage!I7+MonthlyDMUsage!I8</f>
        <v>29475</v>
      </c>
      <c r="J15" s="49">
        <f>MonthlyDMUsage!J7+MonthlyDMUsage!J8</f>
        <v>31440</v>
      </c>
      <c r="K15" s="49">
        <f>MonthlyDMUsage!K7+MonthlyDMUsage!K8</f>
        <v>56985</v>
      </c>
      <c r="L15" s="49">
        <f>MonthlyDMUsage!L7+MonthlyDMUsage!L8</f>
        <v>49125</v>
      </c>
      <c r="M15" s="49">
        <f>MonthlyDMUsage!M7+MonthlyDMUsage!M8</f>
        <v>49125</v>
      </c>
    </row>
    <row r="16" spans="1:14" ht="13.5" thickBot="1">
      <c r="A16" s="19" t="s">
        <v>185</v>
      </c>
      <c r="B16" s="78">
        <f t="shared" ref="B16:M16" si="3">B13+B14-B15</f>
        <v>1414.7999999999993</v>
      </c>
      <c r="C16" s="78">
        <f t="shared" si="3"/>
        <v>2829.5999999999985</v>
      </c>
      <c r="D16" s="78">
        <f t="shared" si="3"/>
        <v>4362.2999999999993</v>
      </c>
      <c r="E16" s="78">
        <f t="shared" si="3"/>
        <v>6012.8999999999942</v>
      </c>
      <c r="F16" s="78">
        <f t="shared" si="3"/>
        <v>7427.6999999999971</v>
      </c>
      <c r="G16" s="78">
        <f t="shared" si="3"/>
        <v>8960.3999999999942</v>
      </c>
      <c r="H16" s="78">
        <f t="shared" si="3"/>
        <v>10610.999999999993</v>
      </c>
      <c r="I16" s="78">
        <f t="shared" si="3"/>
        <v>12379.499999999993</v>
      </c>
      <c r="J16" s="78">
        <f t="shared" si="3"/>
        <v>14265.899999999994</v>
      </c>
      <c r="K16" s="78">
        <f t="shared" si="3"/>
        <v>17685</v>
      </c>
      <c r="L16" s="78">
        <f t="shared" si="3"/>
        <v>20632.5</v>
      </c>
      <c r="M16" s="78">
        <f t="shared" si="3"/>
        <v>23580</v>
      </c>
    </row>
    <row r="17" spans="1:13" ht="15.75" customHeight="1" thickTop="1">
      <c r="A17" s="18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ht="13.15">
      <c r="A18" s="19" t="s">
        <v>26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1:13" ht="13.15">
      <c r="A19" s="19" t="s">
        <v>182</v>
      </c>
      <c r="B19" s="50">
        <v>0</v>
      </c>
      <c r="C19" s="45">
        <f t="shared" ref="C19:M19" si="4">B21</f>
        <v>26200</v>
      </c>
      <c r="D19" s="45">
        <f t="shared" si="4"/>
        <v>26200</v>
      </c>
      <c r="E19" s="45">
        <f t="shared" si="4"/>
        <v>26200</v>
      </c>
      <c r="F19" s="45">
        <f t="shared" si="4"/>
        <v>26200</v>
      </c>
      <c r="G19" s="45">
        <f t="shared" si="4"/>
        <v>13100</v>
      </c>
      <c r="H19" s="45">
        <f t="shared" si="4"/>
        <v>13100</v>
      </c>
      <c r="I19" s="45">
        <f t="shared" si="4"/>
        <v>13100</v>
      </c>
      <c r="J19" s="45">
        <f t="shared" si="4"/>
        <v>13100</v>
      </c>
      <c r="K19" s="45">
        <f t="shared" si="4"/>
        <v>13100</v>
      </c>
      <c r="L19" s="45">
        <f t="shared" si="4"/>
        <v>39300</v>
      </c>
      <c r="M19" s="45">
        <f t="shared" si="4"/>
        <v>26200</v>
      </c>
    </row>
    <row r="20" spans="1:13" ht="13.15">
      <c r="A20" s="19" t="s">
        <v>183</v>
      </c>
      <c r="B20" s="45">
        <f>'Monthly Purchases'!B10</f>
        <v>28820</v>
      </c>
      <c r="C20" s="45">
        <f>'Monthly Purchases'!C10</f>
        <v>28820</v>
      </c>
      <c r="D20" s="45">
        <f>'Monthly Purchases'!D10</f>
        <v>28820</v>
      </c>
      <c r="E20" s="45">
        <f>'Monthly Purchases'!E10</f>
        <v>28820</v>
      </c>
      <c r="F20" s="45">
        <f>'Monthly Purchases'!F10</f>
        <v>14410</v>
      </c>
      <c r="G20" s="45">
        <f>'Monthly Purchases'!G10</f>
        <v>14410</v>
      </c>
      <c r="H20" s="45">
        <f>'Monthly Purchases'!H10</f>
        <v>14410</v>
      </c>
      <c r="I20" s="45">
        <f>'Monthly Purchases'!I10</f>
        <v>14410</v>
      </c>
      <c r="J20" s="45">
        <f>'Monthly Purchases'!J10</f>
        <v>14410</v>
      </c>
      <c r="K20" s="45">
        <f>'Monthly Purchases'!K10</f>
        <v>43230</v>
      </c>
      <c r="L20" s="45">
        <f>'Monthly Purchases'!L10</f>
        <v>28820</v>
      </c>
      <c r="M20" s="45">
        <f>'Monthly Purchases'!M10</f>
        <v>28820</v>
      </c>
    </row>
    <row r="21" spans="1:13" ht="13.15">
      <c r="A21" s="19" t="s">
        <v>184</v>
      </c>
      <c r="B21" s="49">
        <f>MonthlyDMUsage!B9</f>
        <v>26200</v>
      </c>
      <c r="C21" s="49">
        <f>MonthlyDMUsage!C9</f>
        <v>26200</v>
      </c>
      <c r="D21" s="49">
        <f>MonthlyDMUsage!D9</f>
        <v>26200</v>
      </c>
      <c r="E21" s="49">
        <f>MonthlyDMUsage!E9</f>
        <v>26200</v>
      </c>
      <c r="F21" s="49">
        <f>MonthlyDMUsage!F9</f>
        <v>13100</v>
      </c>
      <c r="G21" s="49">
        <f>MonthlyDMUsage!G9</f>
        <v>13100</v>
      </c>
      <c r="H21" s="49">
        <f>MonthlyDMUsage!H9</f>
        <v>13100</v>
      </c>
      <c r="I21" s="49">
        <f>MonthlyDMUsage!I9</f>
        <v>13100</v>
      </c>
      <c r="J21" s="49">
        <f>MonthlyDMUsage!J9</f>
        <v>13100</v>
      </c>
      <c r="K21" s="49">
        <f>MonthlyDMUsage!K9</f>
        <v>39300</v>
      </c>
      <c r="L21" s="49">
        <f>MonthlyDMUsage!L9</f>
        <v>26200</v>
      </c>
      <c r="M21" s="49">
        <f>MonthlyDMUsage!M9</f>
        <v>26200</v>
      </c>
    </row>
    <row r="22" spans="1:13" ht="13.5" thickBot="1">
      <c r="A22" s="19" t="s">
        <v>186</v>
      </c>
      <c r="B22" s="78">
        <f t="shared" ref="B22:M22" si="5">B19+B20-B21</f>
        <v>2620</v>
      </c>
      <c r="C22" s="78">
        <f t="shared" si="5"/>
        <v>28820</v>
      </c>
      <c r="D22" s="78">
        <f t="shared" si="5"/>
        <v>28820</v>
      </c>
      <c r="E22" s="78">
        <f t="shared" si="5"/>
        <v>28820</v>
      </c>
      <c r="F22" s="78">
        <f t="shared" si="5"/>
        <v>27510</v>
      </c>
      <c r="G22" s="78">
        <f t="shared" si="5"/>
        <v>14410</v>
      </c>
      <c r="H22" s="78">
        <f t="shared" si="5"/>
        <v>14410</v>
      </c>
      <c r="I22" s="78">
        <f t="shared" si="5"/>
        <v>14410</v>
      </c>
      <c r="J22" s="78">
        <f t="shared" si="5"/>
        <v>14410</v>
      </c>
      <c r="K22" s="78">
        <f t="shared" si="5"/>
        <v>17030</v>
      </c>
      <c r="L22" s="78">
        <f t="shared" si="5"/>
        <v>41920</v>
      </c>
      <c r="M22" s="78">
        <f t="shared" si="5"/>
        <v>28820</v>
      </c>
    </row>
    <row r="23" spans="1:13" ht="15.75" customHeight="1" thickTop="1">
      <c r="A23" s="18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13.15">
      <c r="A24" s="19" t="s">
        <v>39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3.15">
      <c r="A25" s="19" t="s">
        <v>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3" ht="13.15">
      <c r="A26" s="19" t="s">
        <v>182</v>
      </c>
      <c r="B26" s="50">
        <v>0</v>
      </c>
      <c r="C26" s="45">
        <f t="shared" ref="C26:M26" si="6">B29</f>
        <v>120</v>
      </c>
      <c r="D26" s="45">
        <f t="shared" si="6"/>
        <v>240</v>
      </c>
      <c r="E26" s="45">
        <f t="shared" si="6"/>
        <v>420</v>
      </c>
      <c r="F26" s="45">
        <f t="shared" si="6"/>
        <v>660</v>
      </c>
      <c r="G26" s="45">
        <f t="shared" si="6"/>
        <v>1080</v>
      </c>
      <c r="H26" s="45">
        <f t="shared" si="6"/>
        <v>1560</v>
      </c>
      <c r="I26" s="45">
        <f t="shared" si="6"/>
        <v>2100</v>
      </c>
      <c r="J26" s="45">
        <f t="shared" si="6"/>
        <v>2700</v>
      </c>
      <c r="K26" s="45">
        <f t="shared" si="6"/>
        <v>3360</v>
      </c>
      <c r="L26" s="45">
        <f t="shared" si="6"/>
        <v>4200</v>
      </c>
      <c r="M26" s="45">
        <f t="shared" si="6"/>
        <v>5100</v>
      </c>
    </row>
    <row r="27" spans="1:13" ht="13.15">
      <c r="A27" s="19" t="s">
        <v>187</v>
      </c>
      <c r="B27" s="45">
        <f>MonthlyProduction!B8</f>
        <v>2620</v>
      </c>
      <c r="C27" s="45">
        <f>MonthlyProduction!C8</f>
        <v>2620</v>
      </c>
      <c r="D27" s="45">
        <f>MonthlyProduction!D8</f>
        <v>3930</v>
      </c>
      <c r="E27" s="45">
        <f>MonthlyProduction!E8</f>
        <v>5240</v>
      </c>
      <c r="F27" s="45">
        <f>MonthlyProduction!F8</f>
        <v>9170</v>
      </c>
      <c r="G27" s="45">
        <f>MonthlyProduction!G8</f>
        <v>10480</v>
      </c>
      <c r="H27" s="45">
        <f>MonthlyProduction!H8</f>
        <v>11790</v>
      </c>
      <c r="I27" s="45">
        <f>MonthlyProduction!I8</f>
        <v>13100</v>
      </c>
      <c r="J27" s="45">
        <f>MonthlyProduction!J8</f>
        <v>14410</v>
      </c>
      <c r="K27" s="45">
        <f>MonthlyProduction!K8</f>
        <v>18340</v>
      </c>
      <c r="L27" s="45">
        <f>MonthlyProduction!L8</f>
        <v>19650</v>
      </c>
      <c r="M27" s="45">
        <f>MonthlyProduction!M8</f>
        <v>19650</v>
      </c>
    </row>
    <row r="28" spans="1:13" ht="13.15">
      <c r="A28" s="19" t="s">
        <v>184</v>
      </c>
      <c r="B28" s="49">
        <f>MonthlyRevenue!B10</f>
        <v>2500</v>
      </c>
      <c r="C28" s="49">
        <f>MonthlyRevenue!C10</f>
        <v>2500</v>
      </c>
      <c r="D28" s="49">
        <f>MonthlyRevenue!D10</f>
        <v>3750</v>
      </c>
      <c r="E28" s="49">
        <f>MonthlyRevenue!E10</f>
        <v>5000</v>
      </c>
      <c r="F28" s="49">
        <f>MonthlyRevenue!F10</f>
        <v>8750</v>
      </c>
      <c r="G28" s="49">
        <f>MonthlyRevenue!G10</f>
        <v>10000</v>
      </c>
      <c r="H28" s="49">
        <f>MonthlyRevenue!H10</f>
        <v>11250</v>
      </c>
      <c r="I28" s="49">
        <f>MonthlyRevenue!I10</f>
        <v>12500</v>
      </c>
      <c r="J28" s="49">
        <f>MonthlyRevenue!J10</f>
        <v>13750</v>
      </c>
      <c r="K28" s="49">
        <f>MonthlyRevenue!K10</f>
        <v>17500</v>
      </c>
      <c r="L28" s="49">
        <f>MonthlyRevenue!L10</f>
        <v>18750</v>
      </c>
      <c r="M28" s="49">
        <f>MonthlyRevenue!M10</f>
        <v>18750</v>
      </c>
    </row>
    <row r="29" spans="1:13" ht="13.5" thickBot="1">
      <c r="A29" s="19" t="s">
        <v>185</v>
      </c>
      <c r="B29" s="78">
        <f t="shared" ref="B29:M29" si="7">B26+B27-B28</f>
        <v>120</v>
      </c>
      <c r="C29" s="78">
        <f t="shared" si="7"/>
        <v>240</v>
      </c>
      <c r="D29" s="78">
        <f t="shared" si="7"/>
        <v>420</v>
      </c>
      <c r="E29" s="78">
        <f t="shared" si="7"/>
        <v>660</v>
      </c>
      <c r="F29" s="78">
        <f t="shared" si="7"/>
        <v>1080</v>
      </c>
      <c r="G29" s="78">
        <f t="shared" si="7"/>
        <v>1560</v>
      </c>
      <c r="H29" s="78">
        <f t="shared" si="7"/>
        <v>2100</v>
      </c>
      <c r="I29" s="78">
        <f t="shared" si="7"/>
        <v>2700</v>
      </c>
      <c r="J29" s="78">
        <f t="shared" si="7"/>
        <v>3360</v>
      </c>
      <c r="K29" s="78">
        <f t="shared" si="7"/>
        <v>4200</v>
      </c>
      <c r="L29" s="78">
        <f t="shared" si="7"/>
        <v>5100</v>
      </c>
      <c r="M29" s="78">
        <f t="shared" si="7"/>
        <v>6000</v>
      </c>
    </row>
    <row r="30" spans="1:13" ht="15.75" customHeight="1" thickTop="1">
      <c r="A30" s="18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ht="13.15">
      <c r="A31" s="19" t="s">
        <v>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3.15">
      <c r="A32" s="19" t="s">
        <v>182</v>
      </c>
      <c r="B32" s="50">
        <v>0</v>
      </c>
      <c r="C32" s="45">
        <f t="shared" ref="C32:M32" si="8">B35</f>
        <v>500</v>
      </c>
      <c r="D32" s="45">
        <f t="shared" si="8"/>
        <v>1000</v>
      </c>
      <c r="E32" s="45">
        <f t="shared" si="8"/>
        <v>1500</v>
      </c>
      <c r="F32" s="45">
        <f t="shared" si="8"/>
        <v>2000</v>
      </c>
      <c r="G32" s="45">
        <f t="shared" si="8"/>
        <v>2250</v>
      </c>
      <c r="H32" s="45">
        <f t="shared" si="8"/>
        <v>2500</v>
      </c>
      <c r="I32" s="45">
        <f t="shared" si="8"/>
        <v>2750</v>
      </c>
      <c r="J32" s="45">
        <f t="shared" si="8"/>
        <v>3000</v>
      </c>
      <c r="K32" s="45">
        <f t="shared" si="8"/>
        <v>3250</v>
      </c>
      <c r="L32" s="45">
        <f t="shared" si="8"/>
        <v>4000</v>
      </c>
      <c r="M32" s="45">
        <f t="shared" si="8"/>
        <v>4500</v>
      </c>
    </row>
    <row r="33" spans="1:13" ht="13.15">
      <c r="A33" s="19" t="s">
        <v>187</v>
      </c>
      <c r="B33" s="45">
        <f>MonthlyProduction!B13</f>
        <v>15500</v>
      </c>
      <c r="C33" s="45">
        <f>MonthlyProduction!C13</f>
        <v>15500</v>
      </c>
      <c r="D33" s="45">
        <f>MonthlyProduction!D13</f>
        <v>15500</v>
      </c>
      <c r="E33" s="45">
        <f>MonthlyProduction!E13</f>
        <v>15500</v>
      </c>
      <c r="F33" s="45">
        <f>MonthlyProduction!F13</f>
        <v>7750</v>
      </c>
      <c r="G33" s="45">
        <f>MonthlyProduction!G13</f>
        <v>7750</v>
      </c>
      <c r="H33" s="45">
        <f>MonthlyProduction!H13</f>
        <v>7750</v>
      </c>
      <c r="I33" s="45">
        <f>MonthlyProduction!I13</f>
        <v>7750</v>
      </c>
      <c r="J33" s="45">
        <f>MonthlyProduction!J13</f>
        <v>7750</v>
      </c>
      <c r="K33" s="45">
        <f>MonthlyProduction!K13</f>
        <v>23250</v>
      </c>
      <c r="L33" s="45">
        <f>MonthlyProduction!L13</f>
        <v>15500</v>
      </c>
      <c r="M33" s="45">
        <f>MonthlyProduction!M13</f>
        <v>15500</v>
      </c>
    </row>
    <row r="34" spans="1:13" ht="13.15">
      <c r="A34" s="19" t="s">
        <v>184</v>
      </c>
      <c r="B34" s="49">
        <f>MonthlyRevenue!B11</f>
        <v>15000</v>
      </c>
      <c r="C34" s="49">
        <f>MonthlyRevenue!C11</f>
        <v>15000</v>
      </c>
      <c r="D34" s="49">
        <f>MonthlyRevenue!D11</f>
        <v>15000</v>
      </c>
      <c r="E34" s="49">
        <f>MonthlyRevenue!E11</f>
        <v>15000</v>
      </c>
      <c r="F34" s="49">
        <f>MonthlyRevenue!F11</f>
        <v>7500</v>
      </c>
      <c r="G34" s="49">
        <f>MonthlyRevenue!G11</f>
        <v>7500</v>
      </c>
      <c r="H34" s="49">
        <f>MonthlyRevenue!H11</f>
        <v>7500</v>
      </c>
      <c r="I34" s="49">
        <f>MonthlyRevenue!I11</f>
        <v>7500</v>
      </c>
      <c r="J34" s="49">
        <f>MonthlyRevenue!J11</f>
        <v>7500</v>
      </c>
      <c r="K34" s="49">
        <f>MonthlyRevenue!K11</f>
        <v>22500</v>
      </c>
      <c r="L34" s="49">
        <f>MonthlyRevenue!L11</f>
        <v>15000</v>
      </c>
      <c r="M34" s="49">
        <f>MonthlyRevenue!M11</f>
        <v>15000</v>
      </c>
    </row>
    <row r="35" spans="1:13" ht="13.5" thickBot="1">
      <c r="A35" s="19" t="s">
        <v>185</v>
      </c>
      <c r="B35" s="78">
        <f t="shared" ref="B35:M35" si="9">B32+B33-B34</f>
        <v>500</v>
      </c>
      <c r="C35" s="78">
        <f t="shared" si="9"/>
        <v>1000</v>
      </c>
      <c r="D35" s="78">
        <f t="shared" si="9"/>
        <v>1500</v>
      </c>
      <c r="E35" s="78">
        <f t="shared" si="9"/>
        <v>2000</v>
      </c>
      <c r="F35" s="78">
        <f t="shared" si="9"/>
        <v>2250</v>
      </c>
      <c r="G35" s="78">
        <f t="shared" si="9"/>
        <v>2500</v>
      </c>
      <c r="H35" s="78">
        <f t="shared" si="9"/>
        <v>2750</v>
      </c>
      <c r="I35" s="78">
        <f t="shared" si="9"/>
        <v>3000</v>
      </c>
      <c r="J35" s="78">
        <f t="shared" si="9"/>
        <v>3250</v>
      </c>
      <c r="K35" s="78">
        <f t="shared" si="9"/>
        <v>4000</v>
      </c>
      <c r="L35" s="78">
        <f t="shared" si="9"/>
        <v>4500</v>
      </c>
      <c r="M35" s="78">
        <f t="shared" si="9"/>
        <v>5000</v>
      </c>
    </row>
    <row r="36" spans="1:13" ht="15.75" customHeight="1" thickTop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D25"/>
  <sheetViews>
    <sheetView topLeftCell="A4" workbookViewId="0">
      <selection activeCell="E9" sqref="E9"/>
    </sheetView>
  </sheetViews>
  <sheetFormatPr defaultColWidth="14.28515625" defaultRowHeight="15.75" customHeight="1"/>
  <cols>
    <col min="1" max="1" width="41.5703125" customWidth="1"/>
  </cols>
  <sheetData>
    <row r="1" spans="1:4" ht="22.15">
      <c r="A1" s="84" t="s">
        <v>0</v>
      </c>
      <c r="B1" s="85"/>
      <c r="C1" s="85"/>
    </row>
    <row r="2" spans="1:4" ht="15">
      <c r="A2" s="17" t="s">
        <v>188</v>
      </c>
      <c r="B2" s="18"/>
      <c r="C2" s="18"/>
    </row>
    <row r="3" spans="1:4" ht="15">
      <c r="A3" s="17" t="s">
        <v>2</v>
      </c>
      <c r="B3" s="18"/>
      <c r="C3" s="18"/>
    </row>
    <row r="4" spans="1:4" ht="13.15">
      <c r="A4" s="19" t="s">
        <v>3</v>
      </c>
    </row>
    <row r="5" spans="1:4" ht="13.15">
      <c r="A5" s="19" t="s">
        <v>189</v>
      </c>
      <c r="B5" s="41"/>
      <c r="C5" s="63">
        <v>0</v>
      </c>
      <c r="D5" s="41"/>
    </row>
    <row r="6" spans="1:4" ht="13.15">
      <c r="A6" s="19" t="s">
        <v>190</v>
      </c>
      <c r="B6" s="58">
        <f>AnnualDMUsage!C13+AnnualDMUsage!C14</f>
        <v>1048000</v>
      </c>
      <c r="C6" s="41"/>
      <c r="D6" s="41"/>
    </row>
    <row r="7" spans="1:4" ht="13.15">
      <c r="A7" s="19" t="s">
        <v>191</v>
      </c>
      <c r="B7" s="58">
        <f>AnnualDMLusage!F5</f>
        <v>371385</v>
      </c>
      <c r="C7" s="41"/>
      <c r="D7" s="41"/>
    </row>
    <row r="8" spans="1:4" ht="13.15">
      <c r="A8" s="19" t="s">
        <v>172</v>
      </c>
      <c r="B8" s="79">
        <f>AnnualMOH!G24</f>
        <v>585000</v>
      </c>
      <c r="C8" s="41"/>
      <c r="D8" s="41"/>
    </row>
    <row r="9" spans="1:4" ht="13.15">
      <c r="A9" s="19" t="s">
        <v>192</v>
      </c>
      <c r="B9" s="41"/>
      <c r="C9" s="66">
        <f>SUM(B6:B8)</f>
        <v>2004385</v>
      </c>
      <c r="D9" s="41"/>
    </row>
    <row r="10" spans="1:4" ht="13.15">
      <c r="A10" s="19" t="s">
        <v>193</v>
      </c>
      <c r="B10" s="41"/>
      <c r="C10" s="58">
        <f>C9+C5</f>
        <v>2004385</v>
      </c>
      <c r="D10" s="41"/>
    </row>
    <row r="11" spans="1:4" ht="13.15">
      <c r="A11" s="19" t="s">
        <v>194</v>
      </c>
      <c r="B11" s="41"/>
      <c r="C11" s="66">
        <f>-AnnualEndInv!D10</f>
        <v>-92010</v>
      </c>
      <c r="D11" s="41"/>
    </row>
    <row r="12" spans="1:4" ht="13.5" thickBot="1">
      <c r="A12" s="19" t="s">
        <v>195</v>
      </c>
      <c r="B12" s="41"/>
      <c r="C12" s="41"/>
      <c r="D12" s="61">
        <f>SUM(C10:C11)</f>
        <v>1912375</v>
      </c>
    </row>
    <row r="13" spans="1:4" ht="15.75" customHeight="1" thickTop="1">
      <c r="A13" s="19"/>
      <c r="B13" s="41"/>
      <c r="C13" s="41"/>
      <c r="D13" s="41"/>
    </row>
    <row r="14" spans="1:4" ht="13.15">
      <c r="A14" s="19" t="s">
        <v>4</v>
      </c>
      <c r="B14" s="41"/>
      <c r="C14" s="63"/>
      <c r="D14" s="41"/>
    </row>
    <row r="15" spans="1:4" ht="13.15">
      <c r="A15" s="19" t="s">
        <v>189</v>
      </c>
      <c r="B15" s="41"/>
      <c r="C15" s="63">
        <v>0</v>
      </c>
      <c r="D15" s="41"/>
    </row>
    <row r="16" spans="1:4" ht="13.15">
      <c r="A16" s="19" t="s">
        <v>190</v>
      </c>
      <c r="B16" s="58">
        <f>AnnualDMUsage!D14+AnnualDMUsage!D15</f>
        <v>720500</v>
      </c>
      <c r="C16" s="41"/>
      <c r="D16" s="41"/>
    </row>
    <row r="17" spans="1:4" ht="13.15">
      <c r="A17" s="19" t="s">
        <v>191</v>
      </c>
      <c r="B17" s="58">
        <f>AnnualDMLusage!F11</f>
        <v>439424.99999999994</v>
      </c>
      <c r="C17" s="41"/>
      <c r="D17" s="41"/>
    </row>
    <row r="18" spans="1:4" ht="13.15">
      <c r="A18" s="19" t="s">
        <v>172</v>
      </c>
      <c r="B18" s="79">
        <f>AnnualMOH!O24</f>
        <v>645000</v>
      </c>
      <c r="C18" s="41"/>
      <c r="D18" s="41"/>
    </row>
    <row r="19" spans="1:4" ht="13.15">
      <c r="A19" s="19" t="s">
        <v>192</v>
      </c>
      <c r="B19" s="41"/>
      <c r="C19" s="66">
        <f>SUM(B16:B18)</f>
        <v>1804925</v>
      </c>
      <c r="D19" s="41"/>
    </row>
    <row r="20" spans="1:4" ht="13.15">
      <c r="A20" s="19" t="s">
        <v>193</v>
      </c>
      <c r="B20" s="41"/>
      <c r="C20" s="58">
        <f>C19+C15</f>
        <v>1804925</v>
      </c>
      <c r="D20" s="41"/>
    </row>
    <row r="21" spans="1:4" ht="13.15">
      <c r="A21" s="19" t="s">
        <v>194</v>
      </c>
      <c r="B21" s="41"/>
      <c r="C21" s="66">
        <f>-AnnualEndInv!D11</f>
        <v>-62479.999999999993</v>
      </c>
      <c r="D21" s="41"/>
    </row>
    <row r="22" spans="1:4" ht="13.5" thickBot="1">
      <c r="A22" s="19" t="s">
        <v>195</v>
      </c>
      <c r="B22" s="41"/>
      <c r="C22" s="41"/>
      <c r="D22" s="61">
        <f>SUM(C20:C21)</f>
        <v>1742445</v>
      </c>
    </row>
    <row r="23" spans="1:4" ht="15.75" customHeight="1" thickTop="1">
      <c r="A23" s="19"/>
      <c r="B23" s="41"/>
      <c r="C23" s="41"/>
      <c r="D23" s="41"/>
    </row>
    <row r="24" spans="1:4" ht="13.5" thickBot="1">
      <c r="A24" s="19" t="s">
        <v>196</v>
      </c>
      <c r="B24" s="41"/>
      <c r="C24" s="41"/>
      <c r="D24" s="61">
        <f>D12+D22</f>
        <v>3654820</v>
      </c>
    </row>
    <row r="25" spans="1:4" ht="15.75" customHeight="1" thickTop="1"/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Z30"/>
  <sheetViews>
    <sheetView topLeftCell="A10" workbookViewId="0">
      <pane xSplit="1" topLeftCell="S1" activePane="topRight" state="frozen"/>
      <selection pane="topRight" activeCell="B23" activeCellId="1" sqref="B4:Y4 B23:Y23"/>
    </sheetView>
  </sheetViews>
  <sheetFormatPr defaultColWidth="14.28515625" defaultRowHeight="15.75" customHeight="1"/>
  <cols>
    <col min="1" max="1" width="36.7109375" customWidth="1"/>
  </cols>
  <sheetData>
    <row r="1" spans="1:26" ht="22.15">
      <c r="A1" s="84" t="s">
        <v>0</v>
      </c>
      <c r="B1" s="85"/>
      <c r="C1" s="85"/>
    </row>
    <row r="2" spans="1:26" ht="15.75" customHeight="1">
      <c r="A2" s="17" t="s">
        <v>197</v>
      </c>
      <c r="B2" s="18"/>
      <c r="C2" s="18"/>
    </row>
    <row r="3" spans="1:26" ht="15.75" customHeight="1">
      <c r="A3" s="17" t="s">
        <v>2</v>
      </c>
      <c r="B3" s="18"/>
      <c r="C3" s="18"/>
    </row>
    <row r="4" spans="1:26" ht="13.15">
      <c r="C4" s="19" t="s">
        <v>78</v>
      </c>
      <c r="E4" s="19" t="s">
        <v>79</v>
      </c>
      <c r="G4" s="19" t="s">
        <v>80</v>
      </c>
      <c r="I4" s="19" t="s">
        <v>81</v>
      </c>
      <c r="K4" s="19" t="s">
        <v>14</v>
      </c>
      <c r="M4" s="19" t="s">
        <v>16</v>
      </c>
      <c r="O4" s="19" t="s">
        <v>21</v>
      </c>
      <c r="Q4" s="19" t="s">
        <v>82</v>
      </c>
      <c r="S4" s="19" t="s">
        <v>83</v>
      </c>
      <c r="U4" s="19" t="s">
        <v>84</v>
      </c>
      <c r="W4" s="19" t="s">
        <v>85</v>
      </c>
      <c r="Y4" s="19" t="s">
        <v>86</v>
      </c>
      <c r="Z4" s="19" t="s">
        <v>33</v>
      </c>
    </row>
    <row r="5" spans="1:26" ht="13.15">
      <c r="A5" s="19" t="s">
        <v>3</v>
      </c>
    </row>
    <row r="6" spans="1:26" ht="13.15">
      <c r="A6" s="19" t="s">
        <v>189</v>
      </c>
      <c r="B6" s="4"/>
      <c r="C6" s="4">
        <f>'Monthly Inventory'!B26</f>
        <v>0</v>
      </c>
      <c r="D6" s="4"/>
      <c r="E6" s="4">
        <f>C12</f>
        <v>1840.2</v>
      </c>
      <c r="F6" s="4"/>
      <c r="G6" s="4">
        <f>E12</f>
        <v>3680.4</v>
      </c>
      <c r="H6" s="4"/>
      <c r="I6" s="4">
        <f>G12</f>
        <v>6440.7000000000007</v>
      </c>
      <c r="J6" s="4"/>
      <c r="K6" s="4">
        <f>I12</f>
        <v>10121.1</v>
      </c>
      <c r="L6" s="4"/>
      <c r="M6" s="4">
        <f>K12</f>
        <v>16561.8</v>
      </c>
      <c r="N6" s="4"/>
      <c r="O6" s="4">
        <f>M12</f>
        <v>23922.600000000002</v>
      </c>
      <c r="P6" s="4"/>
      <c r="Q6" s="4">
        <f>O12</f>
        <v>32203.5</v>
      </c>
      <c r="R6" s="4"/>
      <c r="S6" s="4">
        <f>Q12</f>
        <v>41404.5</v>
      </c>
      <c r="T6" s="4"/>
      <c r="U6" s="4">
        <f>S12</f>
        <v>51525.600000000006</v>
      </c>
      <c r="V6" s="4"/>
      <c r="W6" s="4">
        <f>U12</f>
        <v>64407</v>
      </c>
      <c r="X6" s="4"/>
      <c r="Y6" s="4">
        <f>W12</f>
        <v>78208.5</v>
      </c>
      <c r="Z6" s="4"/>
    </row>
    <row r="7" spans="1:26" ht="13.15">
      <c r="A7" s="19" t="s">
        <v>190</v>
      </c>
      <c r="B7" s="4">
        <f>MonthlyDMUsage!B12+MonthlyDMUsage!B14</f>
        <v>20960</v>
      </c>
      <c r="D7" s="4">
        <f>MonthlyDMUsage!C12+MonthlyDMUsage!C14</f>
        <v>20960</v>
      </c>
      <c r="F7" s="4">
        <f>MonthlyDMUsage!D12+MonthlyDMUsage!D14</f>
        <v>31440</v>
      </c>
      <c r="H7" s="4">
        <f>MonthlyDMUsage!E12+MonthlyDMUsage!E14</f>
        <v>41920</v>
      </c>
      <c r="J7" s="4">
        <f>MonthlyDMUsage!F12+MonthlyDMUsage!F14</f>
        <v>73360</v>
      </c>
      <c r="L7" s="4">
        <f>MonthlyDMUsage!G12+MonthlyDMUsage!G14</f>
        <v>83840</v>
      </c>
      <c r="N7" s="4">
        <f>MonthlyDMUsage!H12+MonthlyDMUsage!H14</f>
        <v>94320</v>
      </c>
      <c r="O7" s="4"/>
      <c r="P7" s="4">
        <f>MonthlyDMUsage!I12+MonthlyDMUsage!I14</f>
        <v>104800</v>
      </c>
      <c r="Q7" s="4"/>
      <c r="R7" s="4">
        <f>MonthlyDMUsage!J12+MonthlyDMUsage!J14</f>
        <v>115280</v>
      </c>
      <c r="S7" s="4"/>
      <c r="T7" s="4">
        <f>MonthlyDMUsage!K12+MonthlyDMUsage!K14</f>
        <v>146720</v>
      </c>
      <c r="U7" s="4"/>
      <c r="V7" s="4">
        <f>MonthlyDMUsage!L12+MonthlyDMUsage!L14</f>
        <v>157200</v>
      </c>
      <c r="W7" s="4"/>
      <c r="X7" s="4">
        <f>MonthlyDMUsage!M12+MonthlyDMUsage!M14</f>
        <v>157200</v>
      </c>
      <c r="Z7" s="4"/>
    </row>
    <row r="8" spans="1:26" ht="13.15">
      <c r="A8" s="19" t="s">
        <v>191</v>
      </c>
      <c r="B8" s="4">
        <f>'Monthly Labor'!B13</f>
        <v>7427.7</v>
      </c>
      <c r="D8" s="4">
        <f>'Monthly Labor'!C13</f>
        <v>7427.7</v>
      </c>
      <c r="F8" s="4">
        <f>'Monthly Labor'!D13</f>
        <v>11141.55</v>
      </c>
      <c r="H8" s="4">
        <f>'Monthly Labor'!E13</f>
        <v>14855.4</v>
      </c>
      <c r="J8" s="4">
        <f>'Monthly Labor'!F13</f>
        <v>25996.95</v>
      </c>
      <c r="L8" s="4">
        <f>'Monthly Labor'!G13</f>
        <v>29710.799999999999</v>
      </c>
      <c r="N8" s="4">
        <f>'Monthly Labor'!H13</f>
        <v>33424.65</v>
      </c>
      <c r="O8" s="4"/>
      <c r="P8" s="4">
        <f>'Monthly Labor'!I13</f>
        <v>37138.5</v>
      </c>
      <c r="Q8" s="4"/>
      <c r="R8" s="4">
        <f>'Monthly Labor'!J13</f>
        <v>40852.35</v>
      </c>
      <c r="S8" s="4"/>
      <c r="T8" s="4">
        <f>'Monthly Labor'!K13</f>
        <v>51993.9</v>
      </c>
      <c r="U8" s="4"/>
      <c r="V8" s="4">
        <f>'Monthly Labor'!L13</f>
        <v>55707.75</v>
      </c>
      <c r="W8" s="4"/>
      <c r="X8" s="4">
        <f>'Monthly Labor'!M13</f>
        <v>55707.75</v>
      </c>
      <c r="Z8" s="4"/>
    </row>
    <row r="9" spans="1:26" ht="13.15">
      <c r="A9" s="19" t="s">
        <v>172</v>
      </c>
      <c r="B9" s="10">
        <f>MonthlyMOH!B12+MonthlyMOH!B31</f>
        <v>11700</v>
      </c>
      <c r="D9" s="10">
        <f>MonthlyMOH!C12+MonthlyMOH!C31</f>
        <v>11700</v>
      </c>
      <c r="F9" s="10">
        <f>MonthlyMOH!D12+MonthlyMOH!D31</f>
        <v>17550</v>
      </c>
      <c r="H9" s="10">
        <f>MonthlyMOH!E12+MonthlyMOH!E31</f>
        <v>23400</v>
      </c>
      <c r="J9" s="10">
        <f>MonthlyMOH!F12+MonthlyMOH!F31</f>
        <v>40950.000000000007</v>
      </c>
      <c r="L9" s="10">
        <f>MonthlyMOH!G12+MonthlyMOH!G31</f>
        <v>46800</v>
      </c>
      <c r="N9" s="10">
        <f>MonthlyMOH!H12+MonthlyMOH!H31</f>
        <v>52650</v>
      </c>
      <c r="P9" s="10">
        <f>MonthlyMOH!I12+MonthlyMOH!I31</f>
        <v>58500</v>
      </c>
      <c r="R9" s="10">
        <f>MonthlyMOH!J12+MonthlyMOH!J31</f>
        <v>64350</v>
      </c>
      <c r="T9" s="10">
        <f>MonthlyMOH!K12+MonthlyMOH!K31</f>
        <v>81900.000000000015</v>
      </c>
      <c r="V9" s="10">
        <f>MonthlyMOH!L12+MonthlyMOH!L31</f>
        <v>87750</v>
      </c>
      <c r="X9" s="10">
        <f>MonthlyMOH!M12+MonthlyMOH!M31</f>
        <v>87750</v>
      </c>
      <c r="Z9" s="4"/>
    </row>
    <row r="10" spans="1:26" ht="13.15">
      <c r="A10" s="19" t="s">
        <v>192</v>
      </c>
      <c r="B10" s="4"/>
      <c r="C10" s="10">
        <f>SUM(B7:B9)</f>
        <v>40087.699999999997</v>
      </c>
      <c r="D10" s="4"/>
      <c r="E10" s="10">
        <f>SUM(D7:D9)</f>
        <v>40087.699999999997</v>
      </c>
      <c r="F10" s="4"/>
      <c r="G10" s="10">
        <f>SUM(F7:F9)</f>
        <v>60131.55</v>
      </c>
      <c r="H10" s="4"/>
      <c r="I10" s="10">
        <f>SUM(H7:H9)</f>
        <v>80175.399999999994</v>
      </c>
      <c r="J10" s="4"/>
      <c r="K10" s="10">
        <f>SUM(J7:J9)</f>
        <v>140306.95000000001</v>
      </c>
      <c r="L10" s="4"/>
      <c r="M10" s="10">
        <f>SUM(L7:L9)</f>
        <v>160350.79999999999</v>
      </c>
      <c r="N10" s="4"/>
      <c r="O10" s="10">
        <f>SUM(N7:N9)</f>
        <v>180394.65</v>
      </c>
      <c r="P10" s="4"/>
      <c r="Q10" s="10">
        <f>SUM(P7:P9)</f>
        <v>200438.5</v>
      </c>
      <c r="R10" s="4"/>
      <c r="S10" s="10">
        <f>SUM(R7:R9)</f>
        <v>220482.35</v>
      </c>
      <c r="T10" s="4"/>
      <c r="U10" s="10">
        <f>SUM(T7:T9)</f>
        <v>280613.90000000002</v>
      </c>
      <c r="V10" s="4"/>
      <c r="W10" s="10">
        <f>SUM(V7:V9)</f>
        <v>300657.75</v>
      </c>
      <c r="X10" s="4"/>
      <c r="Y10" s="10">
        <f>SUM(X7:X9)</f>
        <v>300657.75</v>
      </c>
      <c r="Z10" s="4"/>
    </row>
    <row r="11" spans="1:26" ht="13.15">
      <c r="A11" s="19" t="s">
        <v>193</v>
      </c>
      <c r="B11" s="4"/>
      <c r="C11" s="4">
        <f>C6+C10</f>
        <v>40087.699999999997</v>
      </c>
      <c r="D11" s="4"/>
      <c r="E11" s="4">
        <f>E6+E10</f>
        <v>41927.899999999994</v>
      </c>
      <c r="F11" s="4"/>
      <c r="G11" s="4">
        <f>G6+G10</f>
        <v>63811.950000000004</v>
      </c>
      <c r="H11" s="4"/>
      <c r="I11" s="4">
        <f>I6+I10</f>
        <v>86616.099999999991</v>
      </c>
      <c r="J11" s="4"/>
      <c r="K11" s="4">
        <f>K6+K10</f>
        <v>150428.05000000002</v>
      </c>
      <c r="L11" s="4"/>
      <c r="M11" s="4">
        <f>M6+M10</f>
        <v>176912.59999999998</v>
      </c>
      <c r="N11" s="4"/>
      <c r="O11" s="4">
        <f>O6+O10</f>
        <v>204317.25</v>
      </c>
      <c r="P11" s="4"/>
      <c r="Q11" s="4">
        <f>Q6+Q10</f>
        <v>232642</v>
      </c>
      <c r="R11" s="4"/>
      <c r="S11" s="4">
        <f>S6+S10</f>
        <v>261886.85</v>
      </c>
      <c r="T11" s="4"/>
      <c r="U11" s="4">
        <f>U6+U10</f>
        <v>332139.5</v>
      </c>
      <c r="V11" s="4"/>
      <c r="W11" s="4">
        <f>W6+W10</f>
        <v>365064.75</v>
      </c>
      <c r="X11" s="4"/>
      <c r="Y11" s="4">
        <f>Y6+Y10</f>
        <v>378866.25</v>
      </c>
      <c r="Z11" s="4"/>
    </row>
    <row r="12" spans="1:26" ht="13.15">
      <c r="A12" s="19" t="s">
        <v>194</v>
      </c>
      <c r="B12" s="4"/>
      <c r="C12" s="10">
        <f>'Monthly Inventory'!B29*'Unit Cost'!$E$17</f>
        <v>1840.2</v>
      </c>
      <c r="E12" s="10">
        <f>'Monthly Inventory'!C29*'Unit Cost'!$E$17</f>
        <v>3680.4</v>
      </c>
      <c r="G12" s="10">
        <f>'Monthly Inventory'!D29*'Unit Cost'!$E$17</f>
        <v>6440.7000000000007</v>
      </c>
      <c r="I12" s="10">
        <f>'Monthly Inventory'!E29*'Unit Cost'!$E$17</f>
        <v>10121.1</v>
      </c>
      <c r="K12" s="10">
        <f>'Monthly Inventory'!F29*'Unit Cost'!$E$17</f>
        <v>16561.8</v>
      </c>
      <c r="M12" s="10">
        <f>'Monthly Inventory'!G29*'Unit Cost'!$E$17</f>
        <v>23922.600000000002</v>
      </c>
      <c r="O12" s="10">
        <f>'Monthly Inventory'!H29*'Unit Cost'!$E$17</f>
        <v>32203.5</v>
      </c>
      <c r="P12" s="4"/>
      <c r="Q12" s="10">
        <f>'Monthly Inventory'!I29*'Unit Cost'!$E$17</f>
        <v>41404.5</v>
      </c>
      <c r="R12" s="4"/>
      <c r="S12" s="10">
        <f>'Monthly Inventory'!J29*'Unit Cost'!$E$17</f>
        <v>51525.600000000006</v>
      </c>
      <c r="T12" s="4"/>
      <c r="U12" s="10">
        <f>'Monthly Inventory'!K29*'Unit Cost'!$E$17</f>
        <v>64407</v>
      </c>
      <c r="V12" s="4"/>
      <c r="W12" s="10">
        <f>'Monthly Inventory'!L29*'Unit Cost'!$E$17</f>
        <v>78208.5</v>
      </c>
      <c r="X12" s="4"/>
      <c r="Y12" s="10">
        <f>'Monthly Inventory'!M29*'Unit Cost'!$E$17</f>
        <v>92010</v>
      </c>
      <c r="Z12" s="4"/>
    </row>
    <row r="13" spans="1:26" ht="13.5" thickBot="1">
      <c r="A13" s="19" t="s">
        <v>195</v>
      </c>
      <c r="B13" s="4"/>
      <c r="C13" s="35">
        <f>C11-C12</f>
        <v>38247.5</v>
      </c>
      <c r="D13" s="4"/>
      <c r="E13" s="35">
        <f>E11-E12</f>
        <v>38247.499999999993</v>
      </c>
      <c r="F13" s="4"/>
      <c r="G13" s="35">
        <f>G11-G12</f>
        <v>57371.25</v>
      </c>
      <c r="H13" s="4"/>
      <c r="I13" s="35">
        <f>I11-I12</f>
        <v>76494.999999999985</v>
      </c>
      <c r="J13" s="4"/>
      <c r="K13" s="35">
        <f>K11-K12</f>
        <v>133866.25000000003</v>
      </c>
      <c r="L13" s="4"/>
      <c r="M13" s="35">
        <f>M11-M12</f>
        <v>152989.99999999997</v>
      </c>
      <c r="N13" s="4"/>
      <c r="O13" s="35">
        <f>O11-O12</f>
        <v>172113.75</v>
      </c>
      <c r="P13" s="4"/>
      <c r="Q13" s="35">
        <f>Q11-Q12</f>
        <v>191237.5</v>
      </c>
      <c r="R13" s="4"/>
      <c r="S13" s="35">
        <f>S11-S12</f>
        <v>210361.25</v>
      </c>
      <c r="T13" s="4"/>
      <c r="U13" s="35">
        <f>U11-U12</f>
        <v>267732.5</v>
      </c>
      <c r="V13" s="4"/>
      <c r="W13" s="35">
        <f>W11-W12</f>
        <v>286856.25</v>
      </c>
      <c r="X13" s="4"/>
      <c r="Y13" s="35">
        <f>Y11-Y12</f>
        <v>286856.25</v>
      </c>
      <c r="Z13" s="35">
        <f>SUM(B13:Y13)</f>
        <v>1912375</v>
      </c>
    </row>
    <row r="14" spans="1:26" ht="13.5" thickTop="1">
      <c r="A14" s="18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Z14" s="4"/>
    </row>
    <row r="15" spans="1:26" ht="13.15">
      <c r="A15" s="19" t="s">
        <v>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Z15" s="4"/>
    </row>
    <row r="16" spans="1:26" ht="13.15">
      <c r="A16" s="19" t="s">
        <v>189</v>
      </c>
      <c r="B16" s="4"/>
      <c r="C16" s="4">
        <v>0</v>
      </c>
      <c r="D16" s="4"/>
      <c r="E16" s="4">
        <f>C22</f>
        <v>6247.9999999999991</v>
      </c>
      <c r="F16" s="4"/>
      <c r="G16" s="4">
        <f>E22</f>
        <v>12495.999999999998</v>
      </c>
      <c r="H16" s="4"/>
      <c r="I16" s="4">
        <f>G22</f>
        <v>18743.999999999996</v>
      </c>
      <c r="J16" s="4"/>
      <c r="K16" s="4">
        <f>I22</f>
        <v>24991.999999999996</v>
      </c>
      <c r="L16" s="4"/>
      <c r="M16" s="4">
        <f>K22</f>
        <v>28115.999999999996</v>
      </c>
      <c r="N16" s="4"/>
      <c r="O16" s="4">
        <f>M22</f>
        <v>31239.999999999996</v>
      </c>
      <c r="P16" s="4"/>
      <c r="Q16" s="4">
        <f>O22</f>
        <v>34363.999999999993</v>
      </c>
      <c r="R16" s="4"/>
      <c r="S16" s="4">
        <f>Q22</f>
        <v>37487.999999999993</v>
      </c>
      <c r="T16" s="4"/>
      <c r="U16" s="4">
        <f>S22</f>
        <v>40611.999999999993</v>
      </c>
      <c r="W16" s="4">
        <f>U22</f>
        <v>49983.999999999993</v>
      </c>
      <c r="Y16" s="4">
        <f>W22</f>
        <v>56231.999999999993</v>
      </c>
      <c r="Z16" s="4"/>
    </row>
    <row r="17" spans="1:26" ht="13.15">
      <c r="A17" s="19" t="s">
        <v>190</v>
      </c>
      <c r="B17" s="4">
        <f>MonthlyDMUsage!B15+MonthlyDMUsage!B16</f>
        <v>72050</v>
      </c>
      <c r="D17" s="4">
        <f>MonthlyDMUsage!C15+MonthlyDMUsage!C16</f>
        <v>72050</v>
      </c>
      <c r="F17" s="4">
        <f>MonthlyDMUsage!D15+MonthlyDMUsage!D16</f>
        <v>72050</v>
      </c>
      <c r="H17" s="4">
        <f>MonthlyDMUsage!E15+MonthlyDMUsage!E16</f>
        <v>72050</v>
      </c>
      <c r="J17" s="4">
        <f>MonthlyDMUsage!F15+MonthlyDMUsage!F16</f>
        <v>36025</v>
      </c>
      <c r="L17" s="4">
        <f>MonthlyDMUsage!G15+MonthlyDMUsage!G16</f>
        <v>36025</v>
      </c>
      <c r="N17" s="4">
        <f>MonthlyDMUsage!H15+MonthlyDMUsage!H16</f>
        <v>36025</v>
      </c>
      <c r="O17" s="4"/>
      <c r="P17" s="4">
        <f>MonthlyDMUsage!I15+MonthlyDMUsage!I16</f>
        <v>36025</v>
      </c>
      <c r="Q17" s="4"/>
      <c r="R17" s="4">
        <f>MonthlyDMUsage!J15+MonthlyDMUsage!J16</f>
        <v>36025</v>
      </c>
      <c r="S17" s="4"/>
      <c r="T17" s="4">
        <f>MonthlyDMUsage!K15+MonthlyDMUsage!K16</f>
        <v>108075</v>
      </c>
      <c r="U17" s="4"/>
      <c r="V17" s="4">
        <f>MonthlyDMUsage!L15+MonthlyDMUsage!L16</f>
        <v>72050</v>
      </c>
      <c r="W17" s="4"/>
      <c r="X17" s="4">
        <f>MonthlyDMUsage!M15+MonthlyDMUsage!M16</f>
        <v>72050</v>
      </c>
      <c r="Z17" s="4"/>
    </row>
    <row r="18" spans="1:26" ht="13.15">
      <c r="A18" s="19" t="s">
        <v>191</v>
      </c>
      <c r="B18" s="4">
        <f>'Monthly Labor'!B25</f>
        <v>43942.5</v>
      </c>
      <c r="D18" s="4">
        <f>'Monthly Labor'!C25</f>
        <v>43942.5</v>
      </c>
      <c r="F18" s="4">
        <f>'Monthly Labor'!D25</f>
        <v>43942.5</v>
      </c>
      <c r="H18" s="4">
        <f>'Monthly Labor'!E25</f>
        <v>43942.5</v>
      </c>
      <c r="J18" s="4">
        <f>'Monthly Labor'!F25</f>
        <v>21971.25</v>
      </c>
      <c r="L18" s="4">
        <f>'Monthly Labor'!G25</f>
        <v>21971.25</v>
      </c>
      <c r="N18" s="4">
        <f>'Monthly Labor'!H25</f>
        <v>21971.25</v>
      </c>
      <c r="O18" s="4"/>
      <c r="P18" s="4">
        <f>'Monthly Labor'!I25</f>
        <v>21971.25</v>
      </c>
      <c r="Q18" s="4"/>
      <c r="R18" s="4">
        <f>'Monthly Labor'!J25</f>
        <v>21971.25</v>
      </c>
      <c r="S18" s="4"/>
      <c r="T18" s="4">
        <f>'Monthly Labor'!K25</f>
        <v>65913.749999999985</v>
      </c>
      <c r="U18" s="4"/>
      <c r="V18" s="4">
        <f>'Monthly Labor'!L25</f>
        <v>43942.5</v>
      </c>
      <c r="W18" s="4"/>
      <c r="X18" s="4">
        <f>'Monthly Labor'!M25</f>
        <v>43942.5</v>
      </c>
      <c r="Z18" s="4"/>
    </row>
    <row r="19" spans="1:26" ht="13.15">
      <c r="A19" s="19" t="s">
        <v>172</v>
      </c>
      <c r="B19" s="10">
        <f>MonthlyMOH!B20+MonthlyMOH!B39</f>
        <v>64500</v>
      </c>
      <c r="D19" s="10">
        <f>MonthlyMOH!C20+MonthlyMOH!C39</f>
        <v>64500</v>
      </c>
      <c r="F19" s="10">
        <f>MonthlyMOH!D20+MonthlyMOH!D39</f>
        <v>64500</v>
      </c>
      <c r="H19" s="10">
        <f>MonthlyMOH!E20+MonthlyMOH!E39</f>
        <v>64500</v>
      </c>
      <c r="J19" s="10">
        <f>MonthlyMOH!F20+MonthlyMOH!F39</f>
        <v>32250</v>
      </c>
      <c r="L19" s="10">
        <f>MonthlyMOH!G20+MonthlyMOH!G39</f>
        <v>32250</v>
      </c>
      <c r="N19" s="10">
        <f>MonthlyMOH!H20+MonthlyMOH!H39</f>
        <v>32250</v>
      </c>
      <c r="P19" s="10">
        <f>MonthlyMOH!I20+MonthlyMOH!I39</f>
        <v>32250</v>
      </c>
      <c r="R19" s="10">
        <f>MonthlyMOH!J20+MonthlyMOH!J39</f>
        <v>32250</v>
      </c>
      <c r="T19" s="10">
        <f>MonthlyMOH!K20+MonthlyMOH!K39</f>
        <v>96750</v>
      </c>
      <c r="V19" s="10">
        <f>MonthlyMOH!L20+MonthlyMOH!L39</f>
        <v>64500</v>
      </c>
      <c r="X19" s="10">
        <f>MonthlyMOH!M20+MonthlyMOH!M39</f>
        <v>64500</v>
      </c>
      <c r="Z19" s="4"/>
    </row>
    <row r="20" spans="1:26" ht="13.15">
      <c r="A20" s="19" t="s">
        <v>192</v>
      </c>
      <c r="B20" s="4"/>
      <c r="C20" s="10">
        <f>SUM(B17:B19)</f>
        <v>180492.5</v>
      </c>
      <c r="D20" s="4"/>
      <c r="E20" s="10">
        <f>SUM(D17:D19)</f>
        <v>180492.5</v>
      </c>
      <c r="F20" s="4"/>
      <c r="G20" s="10">
        <f>SUM(F17:F19)</f>
        <v>180492.5</v>
      </c>
      <c r="H20" s="4"/>
      <c r="I20" s="10">
        <f>SUM(H17:H19)</f>
        <v>180492.5</v>
      </c>
      <c r="J20" s="4"/>
      <c r="K20" s="10">
        <f>SUM(J17:J19)</f>
        <v>90246.25</v>
      </c>
      <c r="L20" s="4"/>
      <c r="M20" s="10">
        <f>SUM(L17:L19)</f>
        <v>90246.25</v>
      </c>
      <c r="N20" s="4"/>
      <c r="O20" s="10">
        <f>SUM(N17:N19)</f>
        <v>90246.25</v>
      </c>
      <c r="P20" s="4"/>
      <c r="Q20" s="10">
        <f>SUM(P17:P19)</f>
        <v>90246.25</v>
      </c>
      <c r="R20" s="4"/>
      <c r="S20" s="10">
        <f>SUM(R17:R19)</f>
        <v>90246.25</v>
      </c>
      <c r="T20" s="4"/>
      <c r="U20" s="10">
        <f>SUM(T17:T19)</f>
        <v>270738.75</v>
      </c>
      <c r="V20" s="4"/>
      <c r="W20" s="10">
        <f>SUM(V17:V19)</f>
        <v>180492.5</v>
      </c>
      <c r="X20" s="4"/>
      <c r="Y20" s="10">
        <f>SUM(X17:X19)</f>
        <v>180492.5</v>
      </c>
      <c r="Z20" s="4"/>
    </row>
    <row r="21" spans="1:26" ht="13.15">
      <c r="A21" s="19" t="s">
        <v>193</v>
      </c>
      <c r="B21" s="4"/>
      <c r="C21" s="4">
        <f>C16+C20</f>
        <v>180492.5</v>
      </c>
      <c r="D21" s="4"/>
      <c r="E21" s="4">
        <f>E16+E20</f>
        <v>186740.5</v>
      </c>
      <c r="F21" s="4"/>
      <c r="G21" s="4">
        <f>G16+G20</f>
        <v>192988.5</v>
      </c>
      <c r="H21" s="4"/>
      <c r="I21" s="4">
        <f>I16+I20</f>
        <v>199236.5</v>
      </c>
      <c r="J21" s="4"/>
      <c r="K21" s="4">
        <f>K16+K20</f>
        <v>115238.25</v>
      </c>
      <c r="L21" s="4"/>
      <c r="M21" s="4">
        <f>M16+M20</f>
        <v>118362.25</v>
      </c>
      <c r="N21" s="4"/>
      <c r="O21" s="4">
        <f>O16+O20</f>
        <v>121486.25</v>
      </c>
      <c r="P21" s="4"/>
      <c r="Q21" s="4">
        <f>Q16+Q20</f>
        <v>124610.25</v>
      </c>
      <c r="R21" s="4"/>
      <c r="S21" s="4">
        <f>S16+S20</f>
        <v>127734.25</v>
      </c>
      <c r="T21" s="4"/>
      <c r="U21" s="4">
        <f>U16+U20</f>
        <v>311350.75</v>
      </c>
      <c r="V21" s="4"/>
      <c r="W21" s="4">
        <f>W16+W20</f>
        <v>230476.5</v>
      </c>
      <c r="X21" s="4"/>
      <c r="Y21" s="4">
        <f>Y16+Y20</f>
        <v>236724.5</v>
      </c>
      <c r="Z21" s="4"/>
    </row>
    <row r="22" spans="1:26" ht="13.15">
      <c r="A22" s="19" t="s">
        <v>194</v>
      </c>
      <c r="B22" s="4"/>
      <c r="C22" s="10">
        <f>'Monthly Inventory'!B35*'Unit Cost'!$E$31</f>
        <v>6247.9999999999991</v>
      </c>
      <c r="E22" s="10">
        <f>'Monthly Inventory'!C35*'Unit Cost'!$E$31</f>
        <v>12495.999999999998</v>
      </c>
      <c r="G22" s="10">
        <f>'Monthly Inventory'!D35*'Unit Cost'!$E$31</f>
        <v>18743.999999999996</v>
      </c>
      <c r="I22" s="10">
        <f>'Monthly Inventory'!E35*'Unit Cost'!$E$31</f>
        <v>24991.999999999996</v>
      </c>
      <c r="K22" s="10">
        <f>'Monthly Inventory'!F35*'Unit Cost'!$E$31</f>
        <v>28115.999999999996</v>
      </c>
      <c r="M22" s="10">
        <f>'Monthly Inventory'!G35*'Unit Cost'!$E$31</f>
        <v>31239.999999999996</v>
      </c>
      <c r="O22" s="10">
        <f>'Monthly Inventory'!H35*'Unit Cost'!$E$31</f>
        <v>34363.999999999993</v>
      </c>
      <c r="Q22" s="10">
        <f>'Monthly Inventory'!I35*'Unit Cost'!$E$31</f>
        <v>37487.999999999993</v>
      </c>
      <c r="S22" s="10">
        <f>'Monthly Inventory'!J35*'Unit Cost'!$E$31</f>
        <v>40611.999999999993</v>
      </c>
      <c r="U22" s="10">
        <f>'Monthly Inventory'!K35*'Unit Cost'!$E$31</f>
        <v>49983.999999999993</v>
      </c>
      <c r="W22" s="10">
        <f>'Monthly Inventory'!L35*'Unit Cost'!$E$31</f>
        <v>56231.999999999993</v>
      </c>
      <c r="Y22" s="10">
        <f>'Monthly Inventory'!M35*'Unit Cost'!$E$31</f>
        <v>62479.999999999993</v>
      </c>
      <c r="Z22" s="4"/>
    </row>
    <row r="23" spans="1:26" ht="13.5" thickBot="1">
      <c r="A23" s="19" t="s">
        <v>195</v>
      </c>
      <c r="B23" s="4"/>
      <c r="C23" s="35">
        <f>C21-C22</f>
        <v>174244.5</v>
      </c>
      <c r="D23" s="4"/>
      <c r="E23" s="35">
        <f>E21-E22</f>
        <v>174244.5</v>
      </c>
      <c r="F23" s="4"/>
      <c r="G23" s="35">
        <f>G21-G22</f>
        <v>174244.5</v>
      </c>
      <c r="H23" s="4"/>
      <c r="I23" s="35">
        <f>I21-I22</f>
        <v>174244.5</v>
      </c>
      <c r="J23" s="4"/>
      <c r="K23" s="35">
        <f>K21-K22</f>
        <v>87122.25</v>
      </c>
      <c r="L23" s="4"/>
      <c r="M23" s="35">
        <f>M21-M22</f>
        <v>87122.25</v>
      </c>
      <c r="N23" s="4"/>
      <c r="O23" s="35">
        <f>O21-O22</f>
        <v>87122.25</v>
      </c>
      <c r="P23" s="4"/>
      <c r="Q23" s="35">
        <f>Q21-Q22</f>
        <v>87122.25</v>
      </c>
      <c r="R23" s="4"/>
      <c r="S23" s="35">
        <f>S21-S22</f>
        <v>87122.25</v>
      </c>
      <c r="T23" s="4"/>
      <c r="U23" s="35">
        <f>U21-U22</f>
        <v>261366.75</v>
      </c>
      <c r="V23" s="4"/>
      <c r="W23" s="35">
        <f>W21-W22</f>
        <v>174244.5</v>
      </c>
      <c r="X23" s="4"/>
      <c r="Y23" s="35">
        <f>Y21-Y22</f>
        <v>174244.5</v>
      </c>
      <c r="Z23" s="35">
        <f>SUM(B23:Y23)</f>
        <v>1742445</v>
      </c>
    </row>
    <row r="24" spans="1:26" ht="13.5" thickTop="1">
      <c r="A24" s="1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6" ht="13.5" thickBot="1">
      <c r="A25" s="19" t="s">
        <v>196</v>
      </c>
      <c r="B25" s="4"/>
      <c r="C25" s="35">
        <f>C13+C23</f>
        <v>212492</v>
      </c>
      <c r="D25" s="4"/>
      <c r="E25" s="35">
        <f>E13+E23</f>
        <v>212492</v>
      </c>
      <c r="F25" s="4"/>
      <c r="G25" s="35">
        <f>G13+G23</f>
        <v>231615.75</v>
      </c>
      <c r="H25" s="4"/>
      <c r="I25" s="35">
        <f>I13+I23</f>
        <v>250739.5</v>
      </c>
      <c r="J25" s="4"/>
      <c r="K25" s="35">
        <f>K13+K23</f>
        <v>220988.50000000003</v>
      </c>
      <c r="L25" s="4"/>
      <c r="M25" s="35">
        <f>M13+M23</f>
        <v>240112.24999999997</v>
      </c>
      <c r="N25" s="4"/>
      <c r="O25" s="35">
        <f>O13+O23</f>
        <v>259236</v>
      </c>
      <c r="P25" s="4"/>
      <c r="Q25" s="35">
        <f>Q13+Q23</f>
        <v>278359.75</v>
      </c>
      <c r="R25" s="4"/>
      <c r="S25" s="35">
        <f>S13+S23</f>
        <v>297483.5</v>
      </c>
      <c r="T25" s="4"/>
      <c r="U25" s="35">
        <f>U13+U23</f>
        <v>529099.25</v>
      </c>
      <c r="V25" s="4"/>
      <c r="W25" s="35">
        <f>W13+W23</f>
        <v>461100.75</v>
      </c>
      <c r="X25" s="4"/>
      <c r="Y25" s="35">
        <f t="shared" ref="Y25:Z25" si="0">Y13+Y23</f>
        <v>461100.75</v>
      </c>
      <c r="Z25" s="35">
        <f t="shared" si="0"/>
        <v>3654820</v>
      </c>
    </row>
    <row r="26" spans="1:26" ht="13.15" thickTop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6" ht="12.7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6" ht="12.7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6" ht="12.7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6" ht="12.7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"/>
  <sheetViews>
    <sheetView workbookViewId="0">
      <selection activeCell="D11" sqref="D11"/>
    </sheetView>
  </sheetViews>
  <sheetFormatPr defaultColWidth="14.28515625" defaultRowHeight="15.75" customHeight="1"/>
  <sheetData>
    <row r="1" spans="1:4" ht="22.15">
      <c r="A1" s="84" t="s">
        <v>0</v>
      </c>
      <c r="B1" s="85"/>
      <c r="C1" s="85"/>
    </row>
    <row r="2" spans="1:4" ht="15.75" customHeight="1">
      <c r="A2" s="17" t="s">
        <v>73</v>
      </c>
      <c r="B2" s="18"/>
      <c r="C2" s="18"/>
    </row>
    <row r="3" spans="1:4" ht="15.75" customHeight="1">
      <c r="A3" s="17" t="s">
        <v>2</v>
      </c>
      <c r="B3" s="18"/>
      <c r="C3" s="18"/>
    </row>
    <row r="4" spans="1:4" ht="13.15">
      <c r="B4" s="19" t="s">
        <v>74</v>
      </c>
      <c r="C4" s="19" t="s">
        <v>75</v>
      </c>
      <c r="D4" s="19" t="s">
        <v>76</v>
      </c>
    </row>
    <row r="5" spans="1:4" ht="13.15">
      <c r="A5" s="19" t="s">
        <v>3</v>
      </c>
      <c r="B5" s="4">
        <f>Assumptions!D5</f>
        <v>30</v>
      </c>
      <c r="C5" s="45">
        <f>Assumptions!D7</f>
        <v>125000</v>
      </c>
      <c r="D5" s="4">
        <f>B5*C5</f>
        <v>3750000</v>
      </c>
    </row>
    <row r="6" spans="1:4" ht="13.15">
      <c r="A6" s="18"/>
      <c r="C6" s="42"/>
      <c r="D6" s="4"/>
    </row>
    <row r="7" spans="1:4" ht="13.15">
      <c r="A7" s="19" t="s">
        <v>4</v>
      </c>
      <c r="B7" s="4">
        <f>Assumptions!G5</f>
        <v>20</v>
      </c>
      <c r="C7" s="45">
        <f>Assumptions!G7</f>
        <v>150000</v>
      </c>
      <c r="D7" s="4">
        <f>B7*C7</f>
        <v>3000000</v>
      </c>
    </row>
    <row r="9" spans="1:4" ht="15.75" customHeight="1" thickBot="1">
      <c r="D9" s="33">
        <f>D5+D7</f>
        <v>6750000</v>
      </c>
    </row>
    <row r="10" spans="1:4" ht="15.75" customHeight="1" thickTop="1"/>
  </sheetData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E18"/>
  <sheetViews>
    <sheetView workbookViewId="0">
      <selection activeCell="E4" sqref="E4"/>
    </sheetView>
  </sheetViews>
  <sheetFormatPr defaultColWidth="14.28515625" defaultRowHeight="15.75" customHeight="1"/>
  <cols>
    <col min="1" max="1" width="25" customWidth="1"/>
  </cols>
  <sheetData>
    <row r="1" spans="1:5" ht="22.15">
      <c r="A1" s="84" t="s">
        <v>0</v>
      </c>
      <c r="B1" s="85"/>
      <c r="C1" s="85"/>
    </row>
    <row r="2" spans="1:5" ht="15">
      <c r="A2" s="17" t="s">
        <v>198</v>
      </c>
      <c r="B2" s="18"/>
      <c r="C2" s="18"/>
    </row>
    <row r="3" spans="1:5" ht="15.75" customHeight="1">
      <c r="A3" s="17" t="s">
        <v>2</v>
      </c>
      <c r="B3" s="18"/>
      <c r="C3" s="18"/>
    </row>
    <row r="4" spans="1:5" ht="13.15">
      <c r="A4" s="19" t="s">
        <v>199</v>
      </c>
    </row>
    <row r="5" spans="1:5" ht="13.15">
      <c r="A5" s="19" t="s">
        <v>88</v>
      </c>
      <c r="D5" s="58">
        <f>AnnualRevenue!D5</f>
        <v>3750000</v>
      </c>
      <c r="E5" s="41"/>
    </row>
    <row r="6" spans="1:5" ht="13.15">
      <c r="A6" s="19" t="s">
        <v>89</v>
      </c>
      <c r="D6" s="58">
        <f>AnnualRevenue!D7</f>
        <v>3000000</v>
      </c>
      <c r="E6" s="58">
        <f>D5+D6</f>
        <v>6750000</v>
      </c>
    </row>
    <row r="7" spans="1:5" ht="13.15">
      <c r="A7" s="19" t="s">
        <v>200</v>
      </c>
      <c r="D7" s="41"/>
      <c r="E7" s="41"/>
    </row>
    <row r="8" spans="1:5" ht="13.15">
      <c r="A8" s="19" t="s">
        <v>88</v>
      </c>
      <c r="D8" s="58">
        <f>AnnualCOGS!D12</f>
        <v>1912375</v>
      </c>
      <c r="E8" s="41"/>
    </row>
    <row r="9" spans="1:5" ht="13.15">
      <c r="A9" s="19" t="s">
        <v>201</v>
      </c>
      <c r="D9" s="58">
        <f>AnnualCOGS!D22</f>
        <v>1742445</v>
      </c>
      <c r="E9" s="58">
        <f>D8+D9</f>
        <v>3654820</v>
      </c>
    </row>
    <row r="10" spans="1:5" ht="13.15">
      <c r="A10" s="19" t="s">
        <v>202</v>
      </c>
      <c r="D10" s="41"/>
      <c r="E10" s="75">
        <f>E6-E9</f>
        <v>3095180</v>
      </c>
    </row>
    <row r="11" spans="1:5" ht="13.15">
      <c r="A11" s="19" t="s">
        <v>203</v>
      </c>
      <c r="D11" s="41"/>
      <c r="E11" s="41"/>
    </row>
    <row r="12" spans="1:5" ht="13.15">
      <c r="A12" s="19" t="s">
        <v>204</v>
      </c>
      <c r="D12" s="58">
        <f>NonMFG!N6</f>
        <v>150000</v>
      </c>
      <c r="E12" s="41"/>
    </row>
    <row r="13" spans="1:5" ht="13.15">
      <c r="A13" s="19" t="s">
        <v>205</v>
      </c>
      <c r="D13" s="58">
        <f>NonMFG!N7</f>
        <v>49999.999999999993</v>
      </c>
      <c r="E13" s="41"/>
    </row>
    <row r="14" spans="1:5" ht="13.15">
      <c r="A14" s="19" t="s">
        <v>206</v>
      </c>
      <c r="D14" s="58">
        <f>NonMFG!N8</f>
        <v>250000.00000000003</v>
      </c>
      <c r="E14" s="41"/>
    </row>
    <row r="15" spans="1:5" ht="13.15">
      <c r="A15" s="19" t="s">
        <v>207</v>
      </c>
      <c r="D15" s="58">
        <f>NonMFG!N9</f>
        <v>150000</v>
      </c>
      <c r="E15" s="41"/>
    </row>
    <row r="16" spans="1:5" ht="13.15">
      <c r="A16" s="19" t="s">
        <v>208</v>
      </c>
      <c r="D16" s="58">
        <f>NonMFG!N10</f>
        <v>49999.999999999993</v>
      </c>
      <c r="E16" s="58">
        <f>SUM(D12:D16)</f>
        <v>650000</v>
      </c>
    </row>
    <row r="17" spans="1:5" ht="13.5" thickBot="1">
      <c r="A17" s="19" t="s">
        <v>209</v>
      </c>
      <c r="D17" s="41"/>
      <c r="E17" s="80">
        <f>E10-E16</f>
        <v>2445180</v>
      </c>
    </row>
    <row r="18" spans="1:5" ht="15.75" customHeight="1" thickTop="1"/>
  </sheetData>
  <mergeCells count="1">
    <mergeCell ref="A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Z15"/>
  <sheetViews>
    <sheetView workbookViewId="0">
      <pane xSplit="1" topLeftCell="H1" activePane="topRight" state="frozen"/>
      <selection pane="topRight" activeCell="B15" activeCellId="1" sqref="B4:M4 B15:M15"/>
    </sheetView>
  </sheetViews>
  <sheetFormatPr defaultColWidth="14.28515625" defaultRowHeight="15.75" customHeight="1"/>
  <cols>
    <col min="1" max="1" width="22.7109375" customWidth="1"/>
  </cols>
  <sheetData>
    <row r="1" spans="1:26" ht="22.15">
      <c r="A1" s="84" t="s">
        <v>0</v>
      </c>
      <c r="B1" s="85"/>
      <c r="C1" s="85"/>
    </row>
    <row r="2" spans="1:26" ht="15.75" customHeight="1">
      <c r="A2" s="17" t="s">
        <v>210</v>
      </c>
      <c r="B2" s="18"/>
      <c r="C2" s="18"/>
    </row>
    <row r="3" spans="1:26" ht="15.75" customHeight="1">
      <c r="A3" s="17" t="s">
        <v>2</v>
      </c>
      <c r="B3" s="18"/>
      <c r="C3" s="18"/>
    </row>
    <row r="4" spans="1:26" ht="13.15"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9" t="s">
        <v>33</v>
      </c>
    </row>
    <row r="5" spans="1:26" ht="13.15">
      <c r="A5" s="19" t="s">
        <v>91</v>
      </c>
      <c r="B5" s="58">
        <f>MonthlyRevenue!B17</f>
        <v>375000</v>
      </c>
      <c r="C5" s="58">
        <f>MonthlyRevenue!C17</f>
        <v>375000</v>
      </c>
      <c r="D5" s="58">
        <f>MonthlyRevenue!D17</f>
        <v>412500</v>
      </c>
      <c r="E5" s="58">
        <f>MonthlyRevenue!E17</f>
        <v>450000</v>
      </c>
      <c r="F5" s="58">
        <f>MonthlyRevenue!F17</f>
        <v>412500</v>
      </c>
      <c r="G5" s="58">
        <f>MonthlyRevenue!G17</f>
        <v>450000</v>
      </c>
      <c r="H5" s="58">
        <f>MonthlyRevenue!H17</f>
        <v>487500</v>
      </c>
      <c r="I5" s="58">
        <f>MonthlyRevenue!I17</f>
        <v>525000</v>
      </c>
      <c r="J5" s="58">
        <f>MonthlyRevenue!J17</f>
        <v>562500</v>
      </c>
      <c r="K5" s="58">
        <f>MonthlyRevenue!K17</f>
        <v>975000</v>
      </c>
      <c r="L5" s="58">
        <f>MonthlyRevenue!L17</f>
        <v>862500</v>
      </c>
      <c r="M5" s="58">
        <f>MonthlyRevenue!M17</f>
        <v>862500</v>
      </c>
      <c r="N5" s="58">
        <f t="shared" ref="N5:N7" si="0">SUM(B5:M5)</f>
        <v>6750000</v>
      </c>
    </row>
    <row r="6" spans="1:26" ht="13.15">
      <c r="A6" s="19" t="s">
        <v>195</v>
      </c>
      <c r="B6" s="58">
        <f>MonthlyCOGS!C25</f>
        <v>212492</v>
      </c>
      <c r="C6" s="58">
        <f>MonthlyCOGS!E25</f>
        <v>212492</v>
      </c>
      <c r="D6" s="58">
        <f>MonthlyCOGS!G25</f>
        <v>231615.75</v>
      </c>
      <c r="E6" s="58">
        <f>MonthlyCOGS!I25</f>
        <v>250739.5</v>
      </c>
      <c r="F6" s="58">
        <f>MonthlyCOGS!K25</f>
        <v>220988.50000000003</v>
      </c>
      <c r="G6" s="58">
        <f>MonthlyCOGS!M25</f>
        <v>240112.24999999997</v>
      </c>
      <c r="H6" s="58">
        <f>MonthlyCOGS!O25</f>
        <v>259236</v>
      </c>
      <c r="I6" s="58">
        <f>MonthlyCOGS!Q25</f>
        <v>278359.75</v>
      </c>
      <c r="J6" s="58">
        <f>MonthlyCOGS!S25</f>
        <v>297483.5</v>
      </c>
      <c r="K6" s="58">
        <f>MonthlyCOGS!U25</f>
        <v>529099.25</v>
      </c>
      <c r="L6" s="58">
        <f>MonthlyCOGS!W25</f>
        <v>461100.75</v>
      </c>
      <c r="M6" s="58">
        <f>MonthlyCOGS!Y25</f>
        <v>461100.75</v>
      </c>
      <c r="N6" s="58">
        <f t="shared" si="0"/>
        <v>3654820</v>
      </c>
      <c r="Z6" s="1">
        <f>MonthlyCOGS!AA25</f>
        <v>0</v>
      </c>
    </row>
    <row r="7" spans="1:26" ht="13.15">
      <c r="A7" s="19" t="s">
        <v>202</v>
      </c>
      <c r="B7" s="66">
        <f t="shared" ref="B7:M7" si="1">B5-B6</f>
        <v>162508</v>
      </c>
      <c r="C7" s="66">
        <f t="shared" si="1"/>
        <v>162508</v>
      </c>
      <c r="D7" s="66">
        <f t="shared" si="1"/>
        <v>180884.25</v>
      </c>
      <c r="E7" s="66">
        <f t="shared" si="1"/>
        <v>199260.5</v>
      </c>
      <c r="F7" s="66">
        <f t="shared" si="1"/>
        <v>191511.49999999997</v>
      </c>
      <c r="G7" s="66">
        <f t="shared" si="1"/>
        <v>209887.75000000003</v>
      </c>
      <c r="H7" s="66">
        <f t="shared" si="1"/>
        <v>228264</v>
      </c>
      <c r="I7" s="66">
        <f t="shared" si="1"/>
        <v>246640.25</v>
      </c>
      <c r="J7" s="66">
        <f t="shared" si="1"/>
        <v>265016.5</v>
      </c>
      <c r="K7" s="66">
        <f t="shared" si="1"/>
        <v>445900.75</v>
      </c>
      <c r="L7" s="66">
        <f t="shared" si="1"/>
        <v>401399.25</v>
      </c>
      <c r="M7" s="66">
        <f t="shared" si="1"/>
        <v>401399.25</v>
      </c>
      <c r="N7" s="66">
        <f t="shared" si="0"/>
        <v>3095180</v>
      </c>
    </row>
    <row r="8" spans="1:26" ht="13.15">
      <c r="A8" s="19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26" ht="13.15">
      <c r="A9" s="52" t="s">
        <v>57</v>
      </c>
      <c r="B9" s="58">
        <f>NonMFG!B6</f>
        <v>12500</v>
      </c>
      <c r="C9" s="58">
        <f>NonMFG!C6</f>
        <v>12500</v>
      </c>
      <c r="D9" s="58">
        <f>NonMFG!D6</f>
        <v>12500</v>
      </c>
      <c r="E9" s="58">
        <f>NonMFG!E6</f>
        <v>12500</v>
      </c>
      <c r="F9" s="58">
        <f>NonMFG!F6</f>
        <v>12500</v>
      </c>
      <c r="G9" s="58">
        <f>NonMFG!G6</f>
        <v>12500</v>
      </c>
      <c r="H9" s="58">
        <f>NonMFG!H6</f>
        <v>12500</v>
      </c>
      <c r="I9" s="58">
        <f>NonMFG!I6</f>
        <v>12500</v>
      </c>
      <c r="J9" s="58">
        <f>NonMFG!J6</f>
        <v>12500</v>
      </c>
      <c r="K9" s="58">
        <f>NonMFG!K6</f>
        <v>12500</v>
      </c>
      <c r="L9" s="58">
        <f>NonMFG!L6</f>
        <v>12500</v>
      </c>
      <c r="M9" s="58">
        <f>NonMFG!M6</f>
        <v>12500</v>
      </c>
      <c r="N9" s="58">
        <f t="shared" ref="N9:N15" si="2">SUM(B9:M9)</f>
        <v>150000</v>
      </c>
    </row>
    <row r="10" spans="1:26" ht="13.15">
      <c r="A10" s="52" t="s">
        <v>58</v>
      </c>
      <c r="B10" s="58">
        <f>NonMFG!B7</f>
        <v>4166.666666666667</v>
      </c>
      <c r="C10" s="58">
        <f>NonMFG!C7</f>
        <v>4166.666666666667</v>
      </c>
      <c r="D10" s="58">
        <f>NonMFG!D7</f>
        <v>4166.666666666667</v>
      </c>
      <c r="E10" s="58">
        <f>NonMFG!E7</f>
        <v>4166.666666666667</v>
      </c>
      <c r="F10" s="58">
        <f>NonMFG!F7</f>
        <v>4166.666666666667</v>
      </c>
      <c r="G10" s="58">
        <f>NonMFG!G7</f>
        <v>4166.666666666667</v>
      </c>
      <c r="H10" s="58">
        <f>NonMFG!H7</f>
        <v>4166.666666666667</v>
      </c>
      <c r="I10" s="58">
        <f>NonMFG!I7</f>
        <v>4166.666666666667</v>
      </c>
      <c r="J10" s="58">
        <f>NonMFG!J7</f>
        <v>4166.666666666667</v>
      </c>
      <c r="K10" s="58">
        <f>NonMFG!K7</f>
        <v>4166.666666666667</v>
      </c>
      <c r="L10" s="58">
        <f>NonMFG!L7</f>
        <v>4166.666666666667</v>
      </c>
      <c r="M10" s="58">
        <f>NonMFG!M7</f>
        <v>4166.666666666667</v>
      </c>
      <c r="N10" s="58">
        <f t="shared" si="2"/>
        <v>49999.999999999993</v>
      </c>
    </row>
    <row r="11" spans="1:26" ht="13.15">
      <c r="A11" s="52" t="s">
        <v>59</v>
      </c>
      <c r="B11" s="58">
        <f>NonMFG!B8</f>
        <v>20833.333333333332</v>
      </c>
      <c r="C11" s="58">
        <f>NonMFG!C8</f>
        <v>20833.333333333332</v>
      </c>
      <c r="D11" s="58">
        <f>NonMFG!D8</f>
        <v>20833.333333333332</v>
      </c>
      <c r="E11" s="58">
        <f>NonMFG!E8</f>
        <v>20833.333333333332</v>
      </c>
      <c r="F11" s="58">
        <f>NonMFG!F8</f>
        <v>20833.333333333332</v>
      </c>
      <c r="G11" s="58">
        <f>NonMFG!G8</f>
        <v>20833.333333333332</v>
      </c>
      <c r="H11" s="58">
        <f>NonMFG!H8</f>
        <v>20833.333333333332</v>
      </c>
      <c r="I11" s="58">
        <f>NonMFG!I8</f>
        <v>20833.333333333332</v>
      </c>
      <c r="J11" s="58">
        <f>NonMFG!J8</f>
        <v>20833.333333333332</v>
      </c>
      <c r="K11" s="58">
        <f>NonMFG!K8</f>
        <v>20833.333333333332</v>
      </c>
      <c r="L11" s="58">
        <f>NonMFG!L8</f>
        <v>20833.333333333332</v>
      </c>
      <c r="M11" s="58">
        <f>NonMFG!M8</f>
        <v>20833.333333333332</v>
      </c>
      <c r="N11" s="58">
        <f t="shared" si="2"/>
        <v>250000.00000000003</v>
      </c>
    </row>
    <row r="12" spans="1:26" ht="13.15">
      <c r="A12" s="52" t="s">
        <v>60</v>
      </c>
      <c r="B12" s="58">
        <f>NonMFG!B9</f>
        <v>12500</v>
      </c>
      <c r="C12" s="58">
        <f>NonMFG!C9</f>
        <v>12500</v>
      </c>
      <c r="D12" s="58">
        <f>NonMFG!D9</f>
        <v>12500</v>
      </c>
      <c r="E12" s="58">
        <f>NonMFG!E9</f>
        <v>12500</v>
      </c>
      <c r="F12" s="58">
        <f>NonMFG!F9</f>
        <v>12500</v>
      </c>
      <c r="G12" s="58">
        <f>NonMFG!G9</f>
        <v>12500</v>
      </c>
      <c r="H12" s="58">
        <f>NonMFG!H9</f>
        <v>12500</v>
      </c>
      <c r="I12" s="58">
        <f>NonMFG!I9</f>
        <v>12500</v>
      </c>
      <c r="J12" s="58">
        <f>NonMFG!J9</f>
        <v>12500</v>
      </c>
      <c r="K12" s="58">
        <f>NonMFG!K9</f>
        <v>12500</v>
      </c>
      <c r="L12" s="58">
        <f>NonMFG!L9</f>
        <v>12500</v>
      </c>
      <c r="M12" s="58">
        <f>NonMFG!M9</f>
        <v>12500</v>
      </c>
      <c r="N12" s="58">
        <f t="shared" si="2"/>
        <v>150000</v>
      </c>
    </row>
    <row r="13" spans="1:26" ht="13.15">
      <c r="A13" s="52" t="s">
        <v>61</v>
      </c>
      <c r="B13" s="58">
        <f>NonMFG!B10</f>
        <v>4166.666666666667</v>
      </c>
      <c r="C13" s="58">
        <f>NonMFG!C10</f>
        <v>4166.666666666667</v>
      </c>
      <c r="D13" s="58">
        <f>NonMFG!D10</f>
        <v>4166.666666666667</v>
      </c>
      <c r="E13" s="58">
        <f>NonMFG!E10</f>
        <v>4166.666666666667</v>
      </c>
      <c r="F13" s="58">
        <f>NonMFG!F10</f>
        <v>4166.666666666667</v>
      </c>
      <c r="G13" s="58">
        <f>NonMFG!G10</f>
        <v>4166.666666666667</v>
      </c>
      <c r="H13" s="58">
        <f>NonMFG!H10</f>
        <v>4166.666666666667</v>
      </c>
      <c r="I13" s="58">
        <f>NonMFG!I10</f>
        <v>4166.666666666667</v>
      </c>
      <c r="J13" s="58">
        <f>NonMFG!J10</f>
        <v>4166.666666666667</v>
      </c>
      <c r="K13" s="58">
        <f>NonMFG!K10</f>
        <v>4166.666666666667</v>
      </c>
      <c r="L13" s="58">
        <f>NonMFG!L10</f>
        <v>4166.666666666667</v>
      </c>
      <c r="M13" s="58">
        <f>NonMFG!M10</f>
        <v>4166.666666666667</v>
      </c>
      <c r="N13" s="58">
        <f t="shared" si="2"/>
        <v>49999.999999999993</v>
      </c>
    </row>
    <row r="14" spans="1:26" ht="13.15">
      <c r="A14" s="19" t="s">
        <v>211</v>
      </c>
      <c r="B14" s="66">
        <f t="shared" ref="B14:M14" si="3">SUM(B9:B13)</f>
        <v>54166.666666666664</v>
      </c>
      <c r="C14" s="66">
        <f t="shared" si="3"/>
        <v>54166.666666666664</v>
      </c>
      <c r="D14" s="66">
        <f t="shared" si="3"/>
        <v>54166.666666666664</v>
      </c>
      <c r="E14" s="66">
        <f t="shared" si="3"/>
        <v>54166.666666666664</v>
      </c>
      <c r="F14" s="66">
        <f t="shared" si="3"/>
        <v>54166.666666666664</v>
      </c>
      <c r="G14" s="66">
        <f t="shared" si="3"/>
        <v>54166.666666666664</v>
      </c>
      <c r="H14" s="66">
        <f t="shared" si="3"/>
        <v>54166.666666666664</v>
      </c>
      <c r="I14" s="66">
        <f t="shared" si="3"/>
        <v>54166.666666666664</v>
      </c>
      <c r="J14" s="66">
        <f t="shared" si="3"/>
        <v>54166.666666666664</v>
      </c>
      <c r="K14" s="66">
        <f t="shared" si="3"/>
        <v>54166.666666666664</v>
      </c>
      <c r="L14" s="66">
        <f t="shared" si="3"/>
        <v>54166.666666666664</v>
      </c>
      <c r="M14" s="66">
        <f t="shared" si="3"/>
        <v>54166.666666666664</v>
      </c>
      <c r="N14" s="66">
        <f t="shared" si="2"/>
        <v>650000</v>
      </c>
    </row>
    <row r="15" spans="1:26" ht="13.15">
      <c r="A15" s="19" t="s">
        <v>209</v>
      </c>
      <c r="B15" s="65">
        <f t="shared" ref="B15:M15" si="4">B7-B14</f>
        <v>108341.33333333334</v>
      </c>
      <c r="C15" s="65">
        <f t="shared" si="4"/>
        <v>108341.33333333334</v>
      </c>
      <c r="D15" s="65">
        <f t="shared" si="4"/>
        <v>126717.58333333334</v>
      </c>
      <c r="E15" s="65">
        <f t="shared" si="4"/>
        <v>145093.83333333334</v>
      </c>
      <c r="F15" s="65">
        <f t="shared" si="4"/>
        <v>137344.83333333331</v>
      </c>
      <c r="G15" s="65">
        <f t="shared" si="4"/>
        <v>155721.08333333337</v>
      </c>
      <c r="H15" s="65">
        <f t="shared" si="4"/>
        <v>174097.33333333334</v>
      </c>
      <c r="I15" s="65">
        <f t="shared" si="4"/>
        <v>192473.58333333334</v>
      </c>
      <c r="J15" s="65">
        <f t="shared" si="4"/>
        <v>210849.83333333334</v>
      </c>
      <c r="K15" s="65">
        <f t="shared" si="4"/>
        <v>391734.08333333331</v>
      </c>
      <c r="L15" s="65">
        <f t="shared" si="4"/>
        <v>347232.58333333331</v>
      </c>
      <c r="M15" s="65">
        <f t="shared" si="4"/>
        <v>347232.58333333331</v>
      </c>
      <c r="N15" s="65">
        <f t="shared" si="2"/>
        <v>2445180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18"/>
  <sheetViews>
    <sheetView workbookViewId="0">
      <pane xSplit="1" topLeftCell="B1" activePane="topRight" state="frozen"/>
      <selection pane="topRight" activeCell="B7" sqref="B7"/>
    </sheetView>
  </sheetViews>
  <sheetFormatPr defaultColWidth="14.28515625" defaultRowHeight="15.75" customHeight="1"/>
  <sheetData>
    <row r="1" spans="1:14" ht="22.15">
      <c r="A1" s="84" t="s">
        <v>0</v>
      </c>
      <c r="B1" s="85"/>
      <c r="C1" s="85"/>
    </row>
    <row r="2" spans="1:14" ht="15.75" customHeight="1">
      <c r="A2" s="17" t="s">
        <v>77</v>
      </c>
      <c r="B2" s="18"/>
      <c r="C2" s="18"/>
    </row>
    <row r="3" spans="1:14" ht="15.75" customHeight="1">
      <c r="A3" s="17" t="s">
        <v>2</v>
      </c>
      <c r="B3" s="18"/>
      <c r="C3" s="18"/>
    </row>
    <row r="4" spans="1:14" ht="13.15">
      <c r="A4" s="36"/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9" t="s">
        <v>33</v>
      </c>
    </row>
    <row r="5" spans="1:14" ht="13.15">
      <c r="A5" s="19" t="s">
        <v>87</v>
      </c>
    </row>
    <row r="6" spans="1:14" ht="13.15">
      <c r="A6" s="52" t="s">
        <v>88</v>
      </c>
      <c r="B6" s="8">
        <f>Assumptions!K6</f>
        <v>0.02</v>
      </c>
      <c r="C6" s="8">
        <f>Assumptions!K7</f>
        <v>0.02</v>
      </c>
      <c r="D6" s="8">
        <f>Assumptions!K8</f>
        <v>0.03</v>
      </c>
      <c r="E6" s="8">
        <f>Assumptions!K9</f>
        <v>0.04</v>
      </c>
      <c r="F6" s="8">
        <f>Assumptions!K10</f>
        <v>7.0000000000000007E-2</v>
      </c>
      <c r="G6" s="8">
        <f>Assumptions!K11</f>
        <v>0.08</v>
      </c>
      <c r="H6" s="8">
        <f>Assumptions!K12</f>
        <v>0.09</v>
      </c>
      <c r="I6" s="8">
        <f>Assumptions!K13</f>
        <v>0.1</v>
      </c>
      <c r="J6" s="8">
        <f>Assumptions!K14</f>
        <v>0.11</v>
      </c>
      <c r="K6" s="8">
        <f>Assumptions!K15</f>
        <v>0.14000000000000001</v>
      </c>
      <c r="L6" s="8">
        <f>Assumptions!K16</f>
        <v>0.15</v>
      </c>
      <c r="M6" s="8">
        <f>Assumptions!K17</f>
        <v>0.15</v>
      </c>
      <c r="N6" s="8">
        <f t="shared" ref="N6:N7" si="0">SUM(B6:M6)</f>
        <v>1</v>
      </c>
    </row>
    <row r="7" spans="1:14" ht="13.15">
      <c r="A7" s="52" t="s">
        <v>89</v>
      </c>
      <c r="B7" s="8">
        <f>Assumptions!L6</f>
        <v>0.1</v>
      </c>
      <c r="C7" s="8">
        <f>Assumptions!L7</f>
        <v>0.1</v>
      </c>
      <c r="D7" s="8">
        <f>Assumptions!L8</f>
        <v>0.1</v>
      </c>
      <c r="E7" s="8">
        <f>Assumptions!L9</f>
        <v>0.1</v>
      </c>
      <c r="F7" s="8">
        <f>Assumptions!L10</f>
        <v>0.05</v>
      </c>
      <c r="G7" s="8">
        <f>Assumptions!L11</f>
        <v>0.05</v>
      </c>
      <c r="H7" s="8">
        <f>Assumptions!L12</f>
        <v>0.05</v>
      </c>
      <c r="I7" s="8">
        <f>Assumptions!L13</f>
        <v>0.05</v>
      </c>
      <c r="J7" s="8">
        <f>Assumptions!L14</f>
        <v>0.05</v>
      </c>
      <c r="K7" s="8">
        <f>Assumptions!L15</f>
        <v>0.15</v>
      </c>
      <c r="L7" s="8">
        <f>Assumptions!L16</f>
        <v>0.1</v>
      </c>
      <c r="M7" s="8">
        <f>Assumptions!L17</f>
        <v>0.1</v>
      </c>
      <c r="N7" s="8">
        <f t="shared" si="0"/>
        <v>1.0000000000000002</v>
      </c>
    </row>
    <row r="8" spans="1:14" ht="13.15">
      <c r="A8" s="1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 ht="13.15">
      <c r="A9" s="19" t="s">
        <v>90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13.15">
      <c r="A10" s="52" t="s">
        <v>88</v>
      </c>
      <c r="B10" s="9">
        <f>AnnualRevenue!$C$5*B6</f>
        <v>2500</v>
      </c>
      <c r="C10" s="9">
        <f>AnnualRevenue!$C$5*C6</f>
        <v>2500</v>
      </c>
      <c r="D10" s="9">
        <f>AnnualRevenue!$C$5*D6</f>
        <v>3750</v>
      </c>
      <c r="E10" s="45">
        <f>AnnualRevenue!$C$5*E6</f>
        <v>5000</v>
      </c>
      <c r="F10" s="45">
        <f>AnnualRevenue!$C$5*F6</f>
        <v>8750</v>
      </c>
      <c r="G10" s="45">
        <f>AnnualRevenue!$C$5*G6</f>
        <v>10000</v>
      </c>
      <c r="H10" s="45">
        <f>AnnualRevenue!$C$5*H6</f>
        <v>11250</v>
      </c>
      <c r="I10" s="45">
        <f>AnnualRevenue!$C$5*I6</f>
        <v>12500</v>
      </c>
      <c r="J10" s="45">
        <f>AnnualRevenue!$C$5*J6</f>
        <v>13750</v>
      </c>
      <c r="K10" s="45">
        <f>AnnualRevenue!$C$5*K6</f>
        <v>17500</v>
      </c>
      <c r="L10" s="45">
        <f>AnnualRevenue!$C$5*L6</f>
        <v>18750</v>
      </c>
      <c r="M10" s="45">
        <f>AnnualRevenue!$C$5*M6</f>
        <v>18750</v>
      </c>
      <c r="N10" s="45">
        <f t="shared" ref="N10:N11" si="1">SUM(B10:M10)</f>
        <v>125000</v>
      </c>
    </row>
    <row r="11" spans="1:14" ht="13.15">
      <c r="A11" s="52" t="s">
        <v>89</v>
      </c>
      <c r="B11" s="9">
        <f>AnnualRevenue!$C$7*B7</f>
        <v>15000</v>
      </c>
      <c r="C11" s="9">
        <f>AnnualRevenue!$C$7*C7</f>
        <v>15000</v>
      </c>
      <c r="D11" s="9">
        <f>AnnualRevenue!$C$7*D7</f>
        <v>15000</v>
      </c>
      <c r="E11" s="45">
        <f>AnnualRevenue!$C$7*E7</f>
        <v>15000</v>
      </c>
      <c r="F11" s="45">
        <f>AnnualRevenue!$C$7*F7</f>
        <v>7500</v>
      </c>
      <c r="G11" s="45">
        <f>AnnualRevenue!$C$7*G7</f>
        <v>7500</v>
      </c>
      <c r="H11" s="45">
        <f>AnnualRevenue!$C$7*H7</f>
        <v>7500</v>
      </c>
      <c r="I11" s="45">
        <f>AnnualRevenue!$C$7*I7</f>
        <v>7500</v>
      </c>
      <c r="J11" s="45">
        <f>AnnualRevenue!$C$7*J7</f>
        <v>7500</v>
      </c>
      <c r="K11" s="45">
        <f>AnnualRevenue!$C$7*K7</f>
        <v>22500</v>
      </c>
      <c r="L11" s="45">
        <f>AnnualRevenue!$C$7*L7</f>
        <v>15000</v>
      </c>
      <c r="M11" s="45">
        <f>AnnualRevenue!$C$7*M7</f>
        <v>15000</v>
      </c>
      <c r="N11" s="45">
        <f t="shared" si="1"/>
        <v>150000</v>
      </c>
    </row>
    <row r="12" spans="1:14" ht="13.15">
      <c r="A12" s="1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 ht="13.15">
      <c r="A13" s="19" t="s">
        <v>91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4" ht="13.15">
      <c r="A14" s="52" t="s">
        <v>88</v>
      </c>
      <c r="B14" s="4">
        <f>AnnualRevenue!$B$5*B10</f>
        <v>75000</v>
      </c>
      <c r="C14" s="4">
        <f>AnnualRevenue!$B$5*C10</f>
        <v>75000</v>
      </c>
      <c r="D14" s="4">
        <f>AnnualRevenue!$B$5*D10</f>
        <v>112500</v>
      </c>
      <c r="E14" s="4">
        <f>AnnualRevenue!$B$5*E10</f>
        <v>150000</v>
      </c>
      <c r="F14" s="4">
        <f>AnnualRevenue!$B$5*F10</f>
        <v>262500</v>
      </c>
      <c r="G14" s="4">
        <f>AnnualRevenue!$B$5*G10</f>
        <v>300000</v>
      </c>
      <c r="H14" s="4">
        <f>AnnualRevenue!$B$5*H10</f>
        <v>337500</v>
      </c>
      <c r="I14" s="4">
        <f>AnnualRevenue!$B$5*I10</f>
        <v>375000</v>
      </c>
      <c r="J14" s="4">
        <f>AnnualRevenue!$B$5*J10</f>
        <v>412500</v>
      </c>
      <c r="K14" s="4">
        <f>AnnualRevenue!$B$5*K10</f>
        <v>525000</v>
      </c>
      <c r="L14" s="4">
        <f>AnnualRevenue!$B$5*L10</f>
        <v>562500</v>
      </c>
      <c r="M14" s="4">
        <f>AnnualRevenue!$B$5*M10</f>
        <v>562500</v>
      </c>
      <c r="N14" s="4">
        <f t="shared" ref="N14:N15" si="2">SUM(B14:M14)</f>
        <v>3750000</v>
      </c>
    </row>
    <row r="15" spans="1:14" ht="13.15">
      <c r="A15" s="52" t="s">
        <v>89</v>
      </c>
      <c r="B15" s="4">
        <f>AnnualRevenue!$B$7*B11</f>
        <v>300000</v>
      </c>
      <c r="C15" s="4">
        <f>AnnualRevenue!$B$7*C11</f>
        <v>300000</v>
      </c>
      <c r="D15" s="4">
        <f>AnnualRevenue!$B$7*D11</f>
        <v>300000</v>
      </c>
      <c r="E15" s="4">
        <f>AnnualRevenue!$B$7*E11</f>
        <v>300000</v>
      </c>
      <c r="F15" s="4">
        <f>AnnualRevenue!$B$7*F11</f>
        <v>150000</v>
      </c>
      <c r="G15" s="4">
        <f>AnnualRevenue!$B$7*G11</f>
        <v>150000</v>
      </c>
      <c r="H15" s="4">
        <f>AnnualRevenue!$B$7*H11</f>
        <v>150000</v>
      </c>
      <c r="I15" s="4">
        <f>AnnualRevenue!$B$7*I11</f>
        <v>150000</v>
      </c>
      <c r="J15" s="4">
        <f>AnnualRevenue!$B$7*J11</f>
        <v>150000</v>
      </c>
      <c r="K15" s="4">
        <f>AnnualRevenue!$B$7*K11</f>
        <v>450000</v>
      </c>
      <c r="L15" s="4">
        <f>AnnualRevenue!$B$7*L11</f>
        <v>300000</v>
      </c>
      <c r="M15" s="4">
        <f>AnnualRevenue!$B$7*M11</f>
        <v>300000</v>
      </c>
      <c r="N15" s="4">
        <f t="shared" si="2"/>
        <v>3000000</v>
      </c>
    </row>
    <row r="16" spans="1:14" ht="13.15">
      <c r="A16" s="18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4"/>
    </row>
    <row r="17" spans="1:14" ht="13.5" thickBot="1">
      <c r="A17" s="19" t="s">
        <v>33</v>
      </c>
      <c r="B17" s="35">
        <f t="shared" ref="B17:M17" si="3">SUM(B14:B15)</f>
        <v>375000</v>
      </c>
      <c r="C17" s="35">
        <f t="shared" si="3"/>
        <v>375000</v>
      </c>
      <c r="D17" s="35">
        <f t="shared" si="3"/>
        <v>412500</v>
      </c>
      <c r="E17" s="35">
        <f t="shared" si="3"/>
        <v>450000</v>
      </c>
      <c r="F17" s="35">
        <f t="shared" si="3"/>
        <v>412500</v>
      </c>
      <c r="G17" s="35">
        <f t="shared" si="3"/>
        <v>450000</v>
      </c>
      <c r="H17" s="35">
        <f t="shared" si="3"/>
        <v>487500</v>
      </c>
      <c r="I17" s="35">
        <f t="shared" si="3"/>
        <v>525000</v>
      </c>
      <c r="J17" s="35">
        <f t="shared" si="3"/>
        <v>562500</v>
      </c>
      <c r="K17" s="35">
        <f t="shared" si="3"/>
        <v>975000</v>
      </c>
      <c r="L17" s="35">
        <f t="shared" si="3"/>
        <v>862500</v>
      </c>
      <c r="M17" s="35">
        <f t="shared" si="3"/>
        <v>862500</v>
      </c>
      <c r="N17" s="35">
        <f>SUM(B17:M17)</f>
        <v>6750000</v>
      </c>
    </row>
    <row r="18" spans="1:14" ht="15.75" customHeight="1" thickTop="1"/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1"/>
  <sheetViews>
    <sheetView workbookViewId="0">
      <selection activeCell="B14" sqref="B14"/>
    </sheetView>
  </sheetViews>
  <sheetFormatPr defaultColWidth="14.28515625" defaultRowHeight="15.75" customHeight="1"/>
  <cols>
    <col min="1" max="1" width="41.5703125" customWidth="1"/>
  </cols>
  <sheetData>
    <row r="1" spans="1:3" ht="22.15">
      <c r="A1" s="84" t="s">
        <v>0</v>
      </c>
      <c r="B1" s="85"/>
      <c r="C1" s="85"/>
    </row>
    <row r="2" spans="1:3" ht="15.75" customHeight="1">
      <c r="A2" s="17" t="s">
        <v>92</v>
      </c>
      <c r="B2" s="18"/>
      <c r="C2" s="18"/>
    </row>
    <row r="3" spans="1:3" ht="15.75" customHeight="1">
      <c r="A3" s="17" t="s">
        <v>2</v>
      </c>
      <c r="B3" s="18"/>
      <c r="C3" s="18"/>
    </row>
    <row r="5" spans="1:3" ht="13.15">
      <c r="B5" s="19" t="s">
        <v>3</v>
      </c>
      <c r="C5" s="19" t="s">
        <v>4</v>
      </c>
    </row>
    <row r="6" spans="1:3" ht="13.15">
      <c r="A6" s="19" t="s">
        <v>93</v>
      </c>
      <c r="B6" s="45">
        <f>Assumptions!D7</f>
        <v>125000</v>
      </c>
      <c r="C6" s="45">
        <f>Assumptions!G7</f>
        <v>150000</v>
      </c>
    </row>
    <row r="7" spans="1:3" ht="13.15">
      <c r="A7" s="19" t="s">
        <v>94</v>
      </c>
      <c r="B7" s="46">
        <f>Assumptions!C30</f>
        <v>6000</v>
      </c>
      <c r="C7" s="46">
        <f>Assumptions!C31</f>
        <v>5000</v>
      </c>
    </row>
    <row r="8" spans="1:3" ht="13.15">
      <c r="A8" s="19" t="s">
        <v>95</v>
      </c>
      <c r="B8" s="45">
        <f t="shared" ref="B8:C8" si="0">SUM(B6:B7)</f>
        <v>131000</v>
      </c>
      <c r="C8" s="45">
        <f t="shared" si="0"/>
        <v>155000</v>
      </c>
    </row>
    <row r="9" spans="1:3" ht="13.15">
      <c r="A9" s="19" t="s">
        <v>96</v>
      </c>
      <c r="B9" s="47">
        <v>0</v>
      </c>
      <c r="C9" s="47">
        <v>0</v>
      </c>
    </row>
    <row r="10" spans="1:3" ht="13.5" thickBot="1">
      <c r="A10" s="19" t="s">
        <v>97</v>
      </c>
      <c r="B10" s="48">
        <f t="shared" ref="B10:C10" si="1">B8-B9</f>
        <v>131000</v>
      </c>
      <c r="C10" s="48">
        <f t="shared" si="1"/>
        <v>155000</v>
      </c>
    </row>
    <row r="11" spans="1:3" ht="15.75" customHeight="1" thickTop="1"/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3"/>
  <sheetViews>
    <sheetView workbookViewId="0">
      <pane xSplit="1" topLeftCell="B1" activePane="topRight" state="frozen"/>
      <selection pane="topRight" activeCell="B13" sqref="B13"/>
    </sheetView>
  </sheetViews>
  <sheetFormatPr defaultColWidth="14.28515625" defaultRowHeight="15.75" customHeight="1"/>
  <cols>
    <col min="1" max="1" width="16.85546875" customWidth="1"/>
  </cols>
  <sheetData>
    <row r="1" spans="1:14" ht="22.15">
      <c r="A1" s="84" t="s">
        <v>0</v>
      </c>
      <c r="B1" s="85"/>
      <c r="C1" s="85"/>
    </row>
    <row r="2" spans="1:14" ht="15.75" customHeight="1">
      <c r="A2" s="17" t="s">
        <v>98</v>
      </c>
      <c r="B2" s="18"/>
      <c r="C2" s="18"/>
    </row>
    <row r="3" spans="1:14" ht="15.75" customHeight="1">
      <c r="A3" s="17" t="s">
        <v>2</v>
      </c>
      <c r="B3" s="18"/>
      <c r="C3" s="18"/>
    </row>
    <row r="4" spans="1:14" ht="13.15">
      <c r="A4" s="18"/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8" t="s">
        <v>33</v>
      </c>
    </row>
    <row r="5" spans="1:14" ht="13.15">
      <c r="A5" s="19" t="s">
        <v>3</v>
      </c>
    </row>
    <row r="6" spans="1:14" ht="13.15">
      <c r="A6" s="19" t="s">
        <v>87</v>
      </c>
      <c r="B6" s="11">
        <f>Assumptions!O6</f>
        <v>0.02</v>
      </c>
      <c r="C6" s="11">
        <f>Assumptions!O7</f>
        <v>0.02</v>
      </c>
      <c r="D6" s="11">
        <f>Assumptions!O8</f>
        <v>0.03</v>
      </c>
      <c r="E6" s="11">
        <f>Assumptions!O9</f>
        <v>0.04</v>
      </c>
      <c r="F6" s="11">
        <f>Assumptions!O10</f>
        <v>7.0000000000000007E-2</v>
      </c>
      <c r="G6" s="11">
        <f>Assumptions!O11</f>
        <v>0.08</v>
      </c>
      <c r="H6" s="11">
        <f>Assumptions!O12</f>
        <v>0.09</v>
      </c>
      <c r="I6" s="11">
        <f>Assumptions!O13</f>
        <v>0.1</v>
      </c>
      <c r="J6" s="11">
        <f>Assumptions!O14</f>
        <v>0.11</v>
      </c>
      <c r="K6" s="11">
        <f>Assumptions!O15</f>
        <v>0.14000000000000001</v>
      </c>
      <c r="L6" s="11">
        <f>Assumptions!O16</f>
        <v>0.15</v>
      </c>
      <c r="M6" s="11">
        <f>Assumptions!O17</f>
        <v>0.15</v>
      </c>
      <c r="N6" s="40">
        <f>SUM(B6:M6)</f>
        <v>1</v>
      </c>
    </row>
    <row r="7" spans="1:14" ht="15.75" customHeight="1">
      <c r="A7" s="18"/>
      <c r="N7" s="40"/>
    </row>
    <row r="8" spans="1:14" ht="13.15">
      <c r="A8" s="19" t="s">
        <v>99</v>
      </c>
      <c r="B8" s="49">
        <f>Assumptions!$D$9*B6</f>
        <v>2620</v>
      </c>
      <c r="C8" s="49">
        <f>Assumptions!$D$9*C6</f>
        <v>2620</v>
      </c>
      <c r="D8" s="49">
        <f>Assumptions!$D$9*D6</f>
        <v>3930</v>
      </c>
      <c r="E8" s="49">
        <f>Assumptions!$D$9*E6</f>
        <v>5240</v>
      </c>
      <c r="F8" s="49">
        <f>Assumptions!$D$9*F6</f>
        <v>9170</v>
      </c>
      <c r="G8" s="49">
        <f>Assumptions!$D$9*G6</f>
        <v>10480</v>
      </c>
      <c r="H8" s="49">
        <f>Assumptions!$D$9*H6</f>
        <v>11790</v>
      </c>
      <c r="I8" s="49">
        <f>Assumptions!$D$9*I6</f>
        <v>13100</v>
      </c>
      <c r="J8" s="49">
        <f>Assumptions!$D$9*J6</f>
        <v>14410</v>
      </c>
      <c r="K8" s="49">
        <f>Assumptions!$D$9*K6</f>
        <v>18340</v>
      </c>
      <c r="L8" s="49">
        <f>Assumptions!$D$9*L6</f>
        <v>19650</v>
      </c>
      <c r="M8" s="49">
        <f>Assumptions!$D$9*M6</f>
        <v>19650</v>
      </c>
      <c r="N8" s="43">
        <f t="shared" ref="N8:N13" si="0">SUM(B8:M8)</f>
        <v>131000</v>
      </c>
    </row>
    <row r="9" spans="1:14" ht="15.75" customHeight="1">
      <c r="A9" s="18"/>
      <c r="N9" s="40"/>
    </row>
    <row r="10" spans="1:14" ht="13.15">
      <c r="A10" s="19" t="s">
        <v>4</v>
      </c>
      <c r="N10" s="40"/>
    </row>
    <row r="11" spans="1:14" ht="13.15">
      <c r="A11" s="19" t="s">
        <v>87</v>
      </c>
      <c r="B11" s="11">
        <f>Assumptions!P6</f>
        <v>0.1</v>
      </c>
      <c r="C11" s="11">
        <f>Assumptions!P7</f>
        <v>0.1</v>
      </c>
      <c r="D11" s="11">
        <f>Assumptions!P8</f>
        <v>0.1</v>
      </c>
      <c r="E11" s="11">
        <f>Assumptions!P9</f>
        <v>0.1</v>
      </c>
      <c r="F11" s="11">
        <f>Assumptions!P10</f>
        <v>0.05</v>
      </c>
      <c r="G11" s="11">
        <f>Assumptions!P11</f>
        <v>0.05</v>
      </c>
      <c r="H11" s="11">
        <f>Assumptions!P12</f>
        <v>0.05</v>
      </c>
      <c r="I11" s="11">
        <f>Assumptions!P13</f>
        <v>0.05</v>
      </c>
      <c r="J11" s="11">
        <f>Assumptions!P14</f>
        <v>0.05</v>
      </c>
      <c r="K11" s="11">
        <f>Assumptions!P15</f>
        <v>0.15</v>
      </c>
      <c r="L11" s="11">
        <f>Assumptions!P16</f>
        <v>0.1</v>
      </c>
      <c r="M11" s="11">
        <f>Assumptions!P17</f>
        <v>0.1</v>
      </c>
      <c r="N11" s="40">
        <f t="shared" si="0"/>
        <v>1.0000000000000002</v>
      </c>
    </row>
    <row r="12" spans="1:14" ht="15.75" customHeight="1">
      <c r="A12" s="18"/>
      <c r="N12" s="40"/>
    </row>
    <row r="13" spans="1:14" ht="13.15">
      <c r="A13" s="19" t="s">
        <v>99</v>
      </c>
      <c r="B13" s="49">
        <f>Assumptions!$G$9*B11</f>
        <v>15500</v>
      </c>
      <c r="C13" s="49">
        <f>Assumptions!$G$9*C11</f>
        <v>15500</v>
      </c>
      <c r="D13" s="49">
        <f>Assumptions!$G$9*D11</f>
        <v>15500</v>
      </c>
      <c r="E13" s="49">
        <f>Assumptions!$G$9*E11</f>
        <v>15500</v>
      </c>
      <c r="F13" s="49">
        <f>Assumptions!$G$9*F11</f>
        <v>7750</v>
      </c>
      <c r="G13" s="49">
        <f>Assumptions!$G$9*G11</f>
        <v>7750</v>
      </c>
      <c r="H13" s="49">
        <f>Assumptions!$G$9*H11</f>
        <v>7750</v>
      </c>
      <c r="I13" s="49">
        <f>Assumptions!$G$9*I11</f>
        <v>7750</v>
      </c>
      <c r="J13" s="49">
        <f>Assumptions!$G$9*J11</f>
        <v>7750</v>
      </c>
      <c r="K13" s="49">
        <f>Assumptions!$G$9*K11</f>
        <v>23250</v>
      </c>
      <c r="L13" s="49">
        <f>Assumptions!$G$9*L11</f>
        <v>15500</v>
      </c>
      <c r="M13" s="49">
        <f>Assumptions!$G$9*M11</f>
        <v>15500</v>
      </c>
      <c r="N13" s="43">
        <f t="shared" si="0"/>
        <v>155000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E17"/>
  <sheetViews>
    <sheetView topLeftCell="A3" workbookViewId="0">
      <selection activeCell="C14" sqref="C14"/>
    </sheetView>
  </sheetViews>
  <sheetFormatPr defaultColWidth="14.28515625" defaultRowHeight="15.75" customHeight="1"/>
  <sheetData>
    <row r="1" spans="1:5" ht="22.15">
      <c r="A1" s="84" t="s">
        <v>0</v>
      </c>
      <c r="B1" s="85"/>
      <c r="C1" s="85"/>
    </row>
    <row r="2" spans="1:5" ht="15.75" customHeight="1">
      <c r="A2" s="17" t="s">
        <v>100</v>
      </c>
      <c r="B2" s="18"/>
      <c r="C2" s="18"/>
    </row>
    <row r="3" spans="1:5" ht="15.75" customHeight="1">
      <c r="A3" s="17" t="s">
        <v>2</v>
      </c>
      <c r="B3" s="18"/>
      <c r="C3" s="18"/>
    </row>
    <row r="6" spans="1:5" ht="13.15">
      <c r="A6" s="19" t="s">
        <v>101</v>
      </c>
      <c r="C6" s="19" t="s">
        <v>3</v>
      </c>
      <c r="D6" s="19" t="s">
        <v>4</v>
      </c>
      <c r="E6" s="19" t="s">
        <v>33</v>
      </c>
    </row>
    <row r="7" spans="1:5" ht="13.15">
      <c r="A7" s="19" t="s">
        <v>22</v>
      </c>
      <c r="C7" s="45">
        <f>Assumptions!$D$9*Assumptions!D13</f>
        <v>262000</v>
      </c>
      <c r="D7" s="45"/>
      <c r="E7" s="45">
        <f t="shared" ref="E7:E9" si="0">SUM(C7:D7)</f>
        <v>262000</v>
      </c>
    </row>
    <row r="8" spans="1:5" ht="13.15">
      <c r="A8" s="19" t="s">
        <v>24</v>
      </c>
      <c r="C8" s="45">
        <f>Assumptions!$D$9*Assumptions!D14</f>
        <v>196500</v>
      </c>
      <c r="D8" s="45">
        <f>Assumptions!$D$9*Assumptions!G14</f>
        <v>196500</v>
      </c>
      <c r="E8" s="45">
        <f t="shared" si="0"/>
        <v>393000</v>
      </c>
    </row>
    <row r="9" spans="1:5" ht="13.15">
      <c r="A9" s="19" t="s">
        <v>26</v>
      </c>
      <c r="C9" s="45"/>
      <c r="D9" s="45">
        <f>Assumptions!$D$9*Assumptions!G15</f>
        <v>262000</v>
      </c>
      <c r="E9" s="45">
        <f t="shared" si="0"/>
        <v>262000</v>
      </c>
    </row>
    <row r="10" spans="1:5" ht="15.75" customHeight="1">
      <c r="A10" s="19"/>
    </row>
    <row r="11" spans="1:5" ht="13.15">
      <c r="A11" s="19" t="s">
        <v>102</v>
      </c>
    </row>
    <row r="12" spans="1:5" ht="13.15">
      <c r="A12" s="19" t="s">
        <v>103</v>
      </c>
    </row>
    <row r="13" spans="1:5" ht="13.15">
      <c r="A13" s="52" t="s">
        <v>22</v>
      </c>
      <c r="C13" s="4">
        <f>C7*Assumptions!E13</f>
        <v>655000</v>
      </c>
      <c r="D13" s="4"/>
      <c r="E13" s="4">
        <f t="shared" ref="E13:E15" si="1">SUM(C13:D13)</f>
        <v>655000</v>
      </c>
    </row>
    <row r="14" spans="1:5" ht="13.15">
      <c r="A14" s="52" t="s">
        <v>24</v>
      </c>
      <c r="C14" s="4">
        <f>C8*Assumptions!E14</f>
        <v>393000</v>
      </c>
      <c r="D14" s="4">
        <f>D8*Assumptions!H14</f>
        <v>393000</v>
      </c>
      <c r="E14" s="4">
        <f t="shared" si="1"/>
        <v>786000</v>
      </c>
    </row>
    <row r="15" spans="1:5" ht="13.15">
      <c r="A15" s="52" t="s">
        <v>26</v>
      </c>
      <c r="C15" s="4"/>
      <c r="D15" s="4">
        <f>D9*Assumptions!H15</f>
        <v>327500</v>
      </c>
      <c r="E15" s="10">
        <f t="shared" si="1"/>
        <v>327500</v>
      </c>
    </row>
    <row r="16" spans="1:5" ht="13.5" thickBot="1">
      <c r="A16" s="19" t="s">
        <v>33</v>
      </c>
      <c r="E16" s="39">
        <f>SUM(E13:E15)</f>
        <v>1768500</v>
      </c>
    </row>
    <row r="17" ht="15.75" customHeight="1" thickTop="1"/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18"/>
  <sheetViews>
    <sheetView workbookViewId="0">
      <pane xSplit="1" topLeftCell="C3" activePane="topRight" state="frozen"/>
      <selection pane="topRight" activeCell="J16" sqref="J16"/>
    </sheetView>
  </sheetViews>
  <sheetFormatPr defaultColWidth="14.28515625" defaultRowHeight="15.75" customHeight="1"/>
  <cols>
    <col min="1" max="1" width="25.85546875" customWidth="1"/>
  </cols>
  <sheetData>
    <row r="1" spans="1:14" ht="22.15">
      <c r="A1" s="84" t="s">
        <v>0</v>
      </c>
      <c r="B1" s="85"/>
      <c r="C1" s="85"/>
    </row>
    <row r="2" spans="1:14" ht="15.75" customHeight="1">
      <c r="A2" s="17" t="s">
        <v>104</v>
      </c>
      <c r="B2" s="18"/>
      <c r="C2" s="18"/>
    </row>
    <row r="3" spans="1:14" ht="15.75" customHeight="1">
      <c r="A3" s="17" t="s">
        <v>2</v>
      </c>
      <c r="B3" s="18"/>
      <c r="C3" s="18"/>
    </row>
    <row r="4" spans="1:14" ht="13.15">
      <c r="A4" s="18"/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9" t="s">
        <v>33</v>
      </c>
    </row>
    <row r="5" spans="1:14" ht="13.15">
      <c r="A5" s="19" t="s">
        <v>22</v>
      </c>
      <c r="B5" s="6">
        <f>AnnualDMUsage!$C$7*Assumptions!O6</f>
        <v>5240</v>
      </c>
      <c r="C5" s="6">
        <f>AnnualDMUsage!$C$7*Assumptions!O7</f>
        <v>5240</v>
      </c>
      <c r="D5" s="6">
        <f>AnnualDMUsage!$C$7*Assumptions!O8</f>
        <v>7860</v>
      </c>
      <c r="E5" s="6">
        <f>AnnualDMUsage!$C$7*Assumptions!O9</f>
        <v>10480</v>
      </c>
      <c r="F5" s="6">
        <f>AnnualDMUsage!$C$7*Assumptions!O10</f>
        <v>18340</v>
      </c>
      <c r="G5" s="6">
        <f>AnnualDMUsage!$C$7*Assumptions!O11</f>
        <v>20960</v>
      </c>
      <c r="H5" s="6">
        <f>AnnualDMUsage!$C$7*Assumptions!O12</f>
        <v>23580</v>
      </c>
      <c r="I5" s="6">
        <f>AnnualDMUsage!$C$7*Assumptions!O13</f>
        <v>26200</v>
      </c>
      <c r="J5" s="6">
        <f>AnnualDMUsage!$C$7*Assumptions!O14</f>
        <v>28820</v>
      </c>
      <c r="K5" s="6">
        <f>AnnualDMUsage!$C$7*Assumptions!O15</f>
        <v>36680</v>
      </c>
      <c r="L5" s="6">
        <f>AnnualDMUsage!$C$7*Assumptions!O16</f>
        <v>39300</v>
      </c>
      <c r="M5" s="6">
        <f>AnnualDMUsage!$C$7*Assumptions!O17</f>
        <v>39300</v>
      </c>
      <c r="N5" s="6">
        <f>SUM(B5:M5)</f>
        <v>262000</v>
      </c>
    </row>
    <row r="6" spans="1:14" ht="13.15">
      <c r="A6" s="19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" ht="13.15">
      <c r="A7" s="19" t="s">
        <v>105</v>
      </c>
      <c r="B7" s="6">
        <f>AnnualDMUsage!$C$8*Assumptions!O6</f>
        <v>3930</v>
      </c>
      <c r="C7" s="6">
        <f>AnnualDMUsage!$C$8*Assumptions!O7</f>
        <v>3930</v>
      </c>
      <c r="D7" s="6">
        <f>AnnualDMUsage!$C$8*Assumptions!O8</f>
        <v>5895</v>
      </c>
      <c r="E7" s="6">
        <f>AnnualDMUsage!$C$8*Assumptions!O9</f>
        <v>7860</v>
      </c>
      <c r="F7" s="6">
        <f>AnnualDMUsage!$C$8*Assumptions!O10</f>
        <v>13755.000000000002</v>
      </c>
      <c r="G7" s="6">
        <f>AnnualDMUsage!$C$8*Assumptions!O11</f>
        <v>15720</v>
      </c>
      <c r="H7" s="6">
        <f>AnnualDMUsage!$C$8*Assumptions!O12</f>
        <v>17685</v>
      </c>
      <c r="I7" s="6">
        <f>AnnualDMUsage!$C$8*Assumptions!O13</f>
        <v>19650</v>
      </c>
      <c r="J7" s="6">
        <f>AnnualDMUsage!$C$8*Assumptions!O14</f>
        <v>21615</v>
      </c>
      <c r="K7" s="6">
        <f>AnnualDMUsage!$C$8*Assumptions!O15</f>
        <v>27510.000000000004</v>
      </c>
      <c r="L7" s="6">
        <f>AnnualDMUsage!$C$8*Assumptions!O16</f>
        <v>29475</v>
      </c>
      <c r="M7" s="6">
        <f>AnnualDMUsage!$C$8*Assumptions!O17</f>
        <v>29475</v>
      </c>
      <c r="N7" s="6">
        <f t="shared" ref="N7:N9" si="0">SUM(B7:M7)</f>
        <v>196500</v>
      </c>
    </row>
    <row r="8" spans="1:14" ht="13.15">
      <c r="A8" s="19" t="s">
        <v>106</v>
      </c>
      <c r="B8" s="6">
        <f>AnnualDMUsage!$D$8*Assumptions!P6</f>
        <v>19650</v>
      </c>
      <c r="C8" s="6">
        <f>AnnualDMUsage!$D$8*Assumptions!P7</f>
        <v>19650</v>
      </c>
      <c r="D8" s="6">
        <f>AnnualDMUsage!$D$8*Assumptions!P8</f>
        <v>19650</v>
      </c>
      <c r="E8" s="6">
        <f>AnnualDMUsage!$D$8*Assumptions!P9</f>
        <v>19650</v>
      </c>
      <c r="F8" s="6">
        <f>AnnualDMUsage!$D$8*Assumptions!P10</f>
        <v>9825</v>
      </c>
      <c r="G8" s="6">
        <f>AnnualDMUsage!$D$8*Assumptions!P11</f>
        <v>9825</v>
      </c>
      <c r="H8" s="6">
        <f>AnnualDMUsage!$D$8*Assumptions!P12</f>
        <v>9825</v>
      </c>
      <c r="I8" s="6">
        <f>AnnualDMUsage!$D$8*Assumptions!P13</f>
        <v>9825</v>
      </c>
      <c r="J8" s="6">
        <f>AnnualDMUsage!$D$8*Assumptions!P14</f>
        <v>9825</v>
      </c>
      <c r="K8" s="6">
        <f>AnnualDMUsage!$D$8*Assumptions!P15</f>
        <v>29475</v>
      </c>
      <c r="L8" s="6">
        <f>AnnualDMUsage!$D$8*Assumptions!P16</f>
        <v>19650</v>
      </c>
      <c r="M8" s="6">
        <f>AnnualDMUsage!$D$8*Assumptions!P17</f>
        <v>19650</v>
      </c>
      <c r="N8" s="6">
        <f t="shared" si="0"/>
        <v>196500</v>
      </c>
    </row>
    <row r="9" spans="1:14" ht="13.15">
      <c r="A9" s="19" t="s">
        <v>26</v>
      </c>
      <c r="B9" s="6">
        <f>AnnualDMUsage!$D$9*Assumptions!P6</f>
        <v>26200</v>
      </c>
      <c r="C9" s="6">
        <f>AnnualDMUsage!$D$9*Assumptions!P7</f>
        <v>26200</v>
      </c>
      <c r="D9" s="6">
        <f>AnnualDMUsage!$D$9*Assumptions!P8</f>
        <v>26200</v>
      </c>
      <c r="E9" s="6">
        <f>AnnualDMUsage!$D$9*Assumptions!P9</f>
        <v>26200</v>
      </c>
      <c r="F9" s="6">
        <f>AnnualDMUsage!$D$9*Assumptions!P10</f>
        <v>13100</v>
      </c>
      <c r="G9" s="6">
        <f>AnnualDMUsage!$D$9*Assumptions!P11</f>
        <v>13100</v>
      </c>
      <c r="H9" s="6">
        <f>AnnualDMUsage!$D$9*Assumptions!P12</f>
        <v>13100</v>
      </c>
      <c r="I9" s="6">
        <f>AnnualDMUsage!$D$9*Assumptions!P13</f>
        <v>13100</v>
      </c>
      <c r="J9" s="6">
        <f>AnnualDMUsage!$D$9*Assumptions!P14</f>
        <v>13100</v>
      </c>
      <c r="K9" s="6">
        <f>AnnualDMUsage!$D$9*Assumptions!P15</f>
        <v>39300</v>
      </c>
      <c r="L9" s="6">
        <f>AnnualDMUsage!$D$9*Assumptions!P16</f>
        <v>26200</v>
      </c>
      <c r="M9" s="6">
        <f>AnnualDMUsage!$D$9*Assumptions!P17</f>
        <v>26200</v>
      </c>
      <c r="N9" s="6">
        <f t="shared" si="0"/>
        <v>262000</v>
      </c>
    </row>
    <row r="10" spans="1:14" ht="15.75" customHeight="1">
      <c r="A10" s="18"/>
    </row>
    <row r="11" spans="1:14" ht="13.15">
      <c r="A11" s="19" t="s">
        <v>107</v>
      </c>
    </row>
    <row r="12" spans="1:14" ht="13.15">
      <c r="A12" s="19" t="s">
        <v>22</v>
      </c>
      <c r="B12" s="4">
        <f>B5*Assumptions!$E$13</f>
        <v>13100</v>
      </c>
      <c r="C12" s="4">
        <f>C5*Assumptions!$E$13</f>
        <v>13100</v>
      </c>
      <c r="D12" s="4">
        <f>D5*Assumptions!$E$13</f>
        <v>19650</v>
      </c>
      <c r="E12" s="4">
        <f>E5*Assumptions!$E$13</f>
        <v>26200</v>
      </c>
      <c r="F12" s="4">
        <f>F5*Assumptions!$E$13</f>
        <v>45850</v>
      </c>
      <c r="G12" s="4">
        <f>G5*Assumptions!$E$13</f>
        <v>52400</v>
      </c>
      <c r="H12" s="4">
        <f>H5*Assumptions!$E$13</f>
        <v>58950</v>
      </c>
      <c r="I12" s="4">
        <f>I5*Assumptions!$E$13</f>
        <v>65500</v>
      </c>
      <c r="J12" s="4">
        <f>J5*Assumptions!$E$13</f>
        <v>72050</v>
      </c>
      <c r="K12" s="4">
        <f>K5*Assumptions!$E$13</f>
        <v>91700</v>
      </c>
      <c r="L12" s="4">
        <f>L5*Assumptions!$E$13</f>
        <v>98250</v>
      </c>
      <c r="M12" s="4">
        <f>M5*Assumptions!$E$13</f>
        <v>98250</v>
      </c>
      <c r="N12" s="4">
        <f>SUM(B12:M12)</f>
        <v>655000</v>
      </c>
    </row>
    <row r="13" spans="1:14" ht="13.15">
      <c r="A13" s="19" t="s">
        <v>24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ht="13.15">
      <c r="A14" s="19" t="s">
        <v>105</v>
      </c>
      <c r="B14" s="4">
        <f>B7*Assumptions!$E$14</f>
        <v>7860</v>
      </c>
      <c r="C14" s="4">
        <f>C7*Assumptions!$E$14</f>
        <v>7860</v>
      </c>
      <c r="D14" s="4">
        <f>D7*Assumptions!$E$14</f>
        <v>11790</v>
      </c>
      <c r="E14" s="4">
        <f>E7*Assumptions!$E$14</f>
        <v>15720</v>
      </c>
      <c r="F14" s="4">
        <f>F7*Assumptions!$E$14</f>
        <v>27510.000000000004</v>
      </c>
      <c r="G14" s="4">
        <f>G7*Assumptions!$E$14</f>
        <v>31440</v>
      </c>
      <c r="H14" s="4">
        <f>H7*Assumptions!$E$14</f>
        <v>35370</v>
      </c>
      <c r="I14" s="4">
        <f>I7*Assumptions!$E$14</f>
        <v>39300</v>
      </c>
      <c r="J14" s="4">
        <f>J7*Assumptions!$E$14</f>
        <v>43230</v>
      </c>
      <c r="K14" s="4">
        <f>K7*Assumptions!$E$14</f>
        <v>55020.000000000007</v>
      </c>
      <c r="L14" s="4">
        <f>L7*Assumptions!$E$14</f>
        <v>58950</v>
      </c>
      <c r="M14" s="4">
        <f>M7*Assumptions!$E$14</f>
        <v>58950</v>
      </c>
      <c r="N14" s="4">
        <f t="shared" ref="N14:N17" si="1">SUM(B14:M14)</f>
        <v>393000</v>
      </c>
    </row>
    <row r="15" spans="1:14" ht="13.15">
      <c r="A15" s="19" t="s">
        <v>106</v>
      </c>
      <c r="B15" s="4">
        <f>B8*Assumptions!$H$14</f>
        <v>39300</v>
      </c>
      <c r="C15" s="4">
        <f>C8*Assumptions!$H$14</f>
        <v>39300</v>
      </c>
      <c r="D15" s="4">
        <f>D8*Assumptions!$H$14</f>
        <v>39300</v>
      </c>
      <c r="E15" s="4">
        <f>E8*Assumptions!$H$14</f>
        <v>39300</v>
      </c>
      <c r="F15" s="4">
        <f>F8*Assumptions!$H$14</f>
        <v>19650</v>
      </c>
      <c r="G15" s="4">
        <f>G8*Assumptions!$H$14</f>
        <v>19650</v>
      </c>
      <c r="H15" s="4">
        <f>H8*Assumptions!$H$14</f>
        <v>19650</v>
      </c>
      <c r="I15" s="4">
        <f>I8*Assumptions!$H$14</f>
        <v>19650</v>
      </c>
      <c r="J15" s="4">
        <f>J8*Assumptions!$H$14</f>
        <v>19650</v>
      </c>
      <c r="K15" s="4">
        <f>K8*Assumptions!$H$14</f>
        <v>58950</v>
      </c>
      <c r="L15" s="4">
        <f>L8*Assumptions!$H$14</f>
        <v>39300</v>
      </c>
      <c r="M15" s="4">
        <f>M8*Assumptions!$H$14</f>
        <v>39300</v>
      </c>
      <c r="N15" s="4">
        <f t="shared" si="1"/>
        <v>393000</v>
      </c>
    </row>
    <row r="16" spans="1:14" ht="13.15">
      <c r="A16" s="19" t="s">
        <v>26</v>
      </c>
      <c r="B16" s="10">
        <f>B9*Assumptions!$H$15</f>
        <v>32750</v>
      </c>
      <c r="C16" s="10">
        <f>C9*Assumptions!$H$15</f>
        <v>32750</v>
      </c>
      <c r="D16" s="10">
        <f>D9*Assumptions!$H$15</f>
        <v>32750</v>
      </c>
      <c r="E16" s="10">
        <f>E9*Assumptions!$H$15</f>
        <v>32750</v>
      </c>
      <c r="F16" s="10">
        <f>F9*Assumptions!$H$15</f>
        <v>16375</v>
      </c>
      <c r="G16" s="10">
        <f>G9*Assumptions!$H$15</f>
        <v>16375</v>
      </c>
      <c r="H16" s="10">
        <f>H9*Assumptions!$H$15</f>
        <v>16375</v>
      </c>
      <c r="I16" s="10">
        <f>I9*Assumptions!$H$15</f>
        <v>16375</v>
      </c>
      <c r="J16" s="10">
        <f>J9*Assumptions!$H$15</f>
        <v>16375</v>
      </c>
      <c r="K16" s="10">
        <f>K9*Assumptions!$H$15</f>
        <v>49125</v>
      </c>
      <c r="L16" s="10">
        <f>L9*Assumptions!$H$15</f>
        <v>32750</v>
      </c>
      <c r="M16" s="10">
        <f>M9*Assumptions!$H$15</f>
        <v>32750</v>
      </c>
      <c r="N16" s="44">
        <f t="shared" si="1"/>
        <v>327500</v>
      </c>
    </row>
    <row r="17" spans="1:14" ht="13.5" thickBot="1">
      <c r="A17" s="19" t="s">
        <v>33</v>
      </c>
      <c r="B17" s="35">
        <f t="shared" ref="B17:M17" si="2">SUM(B12:B16)</f>
        <v>93010</v>
      </c>
      <c r="C17" s="35">
        <f t="shared" si="2"/>
        <v>93010</v>
      </c>
      <c r="D17" s="35">
        <f t="shared" si="2"/>
        <v>103490</v>
      </c>
      <c r="E17" s="35">
        <f t="shared" si="2"/>
        <v>113970</v>
      </c>
      <c r="F17" s="35">
        <f t="shared" si="2"/>
        <v>109385</v>
      </c>
      <c r="G17" s="35">
        <f t="shared" si="2"/>
        <v>119865</v>
      </c>
      <c r="H17" s="35">
        <f t="shared" si="2"/>
        <v>130345</v>
      </c>
      <c r="I17" s="35">
        <f t="shared" si="2"/>
        <v>140825</v>
      </c>
      <c r="J17" s="35">
        <f t="shared" si="2"/>
        <v>151305</v>
      </c>
      <c r="K17" s="35">
        <f t="shared" si="2"/>
        <v>254795</v>
      </c>
      <c r="L17" s="35">
        <f t="shared" si="2"/>
        <v>229250</v>
      </c>
      <c r="M17" s="35">
        <f t="shared" si="2"/>
        <v>229250</v>
      </c>
      <c r="N17" s="35">
        <f t="shared" si="1"/>
        <v>1768500</v>
      </c>
    </row>
    <row r="18" spans="1:14" ht="15.75" customHeight="1" thickTop="1"/>
  </sheetData>
  <mergeCells count="1">
    <mergeCell ref="A1:C1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8"/>
  <sheetViews>
    <sheetView workbookViewId="0">
      <selection activeCell="D15" sqref="D15"/>
    </sheetView>
  </sheetViews>
  <sheetFormatPr defaultColWidth="14.28515625" defaultRowHeight="15.75" customHeight="1"/>
  <cols>
    <col min="1" max="1" width="26.140625" customWidth="1"/>
  </cols>
  <sheetData>
    <row r="1" spans="1:6" ht="22.15">
      <c r="A1" s="84" t="s">
        <v>0</v>
      </c>
      <c r="B1" s="85"/>
      <c r="C1" s="85"/>
    </row>
    <row r="2" spans="1:6" ht="15.75" customHeight="1">
      <c r="A2" s="17" t="s">
        <v>108</v>
      </c>
      <c r="B2" s="18"/>
      <c r="C2" s="18"/>
    </row>
    <row r="3" spans="1:6" ht="15.75" customHeight="1">
      <c r="A3" s="17" t="s">
        <v>2</v>
      </c>
      <c r="B3" s="18"/>
      <c r="C3" s="18"/>
    </row>
    <row r="4" spans="1:6" ht="13.15">
      <c r="A4" s="19" t="s">
        <v>109</v>
      </c>
    </row>
    <row r="5" spans="1:6" ht="13.15">
      <c r="A5" s="19"/>
      <c r="B5" s="19" t="s">
        <v>22</v>
      </c>
      <c r="C5" s="19" t="s">
        <v>24</v>
      </c>
      <c r="D5" s="1"/>
      <c r="E5" s="19" t="s">
        <v>26</v>
      </c>
      <c r="F5" s="19" t="s">
        <v>33</v>
      </c>
    </row>
    <row r="6" spans="1:6" ht="13.15">
      <c r="A6" s="19"/>
      <c r="B6" s="19"/>
      <c r="C6" s="19" t="s">
        <v>3</v>
      </c>
      <c r="D6" s="19" t="s">
        <v>4</v>
      </c>
      <c r="E6" s="19"/>
      <c r="F6" s="19"/>
    </row>
    <row r="7" spans="1:6" ht="13.15">
      <c r="A7" s="19" t="s">
        <v>110</v>
      </c>
      <c r="B7" s="45">
        <f>AnnualDMUsage!E7</f>
        <v>262000</v>
      </c>
      <c r="C7" s="45">
        <f>AnnualDMUsage!C8</f>
        <v>196500</v>
      </c>
      <c r="D7" s="45">
        <f>AnnualDMUsage!D8</f>
        <v>196500</v>
      </c>
      <c r="E7" s="45">
        <f>AnnualDMUsage!E9</f>
        <v>262000</v>
      </c>
    </row>
    <row r="8" spans="1:6" ht="13.15">
      <c r="A8" s="19" t="s">
        <v>111</v>
      </c>
      <c r="B8" s="46">
        <f>Assumptions!C23</f>
        <v>5240</v>
      </c>
      <c r="C8" s="46">
        <f>Assumptions!C24/2</f>
        <v>11790</v>
      </c>
      <c r="D8" s="46">
        <f>Assumptions!C24/2</f>
        <v>11790</v>
      </c>
      <c r="E8" s="46">
        <f>Assumptions!C25</f>
        <v>26200</v>
      </c>
    </row>
    <row r="9" spans="1:6" ht="13.15">
      <c r="A9" s="19" t="s">
        <v>112</v>
      </c>
      <c r="B9" s="45">
        <f t="shared" ref="B9:E9" si="0">SUM(B7:B8)</f>
        <v>267240</v>
      </c>
      <c r="C9" s="45">
        <f t="shared" si="0"/>
        <v>208290</v>
      </c>
      <c r="D9" s="45">
        <f t="shared" si="0"/>
        <v>208290</v>
      </c>
      <c r="E9" s="45">
        <f t="shared" si="0"/>
        <v>288200</v>
      </c>
    </row>
    <row r="10" spans="1:6" ht="13.15">
      <c r="A10" s="19" t="s">
        <v>113</v>
      </c>
      <c r="B10" s="51">
        <v>0</v>
      </c>
      <c r="C10" s="51">
        <v>0</v>
      </c>
      <c r="D10" s="51">
        <v>0</v>
      </c>
      <c r="E10" s="51">
        <v>0</v>
      </c>
    </row>
    <row r="11" spans="1:6" ht="13.15">
      <c r="A11" s="19" t="s">
        <v>114</v>
      </c>
      <c r="B11" s="45">
        <f t="shared" ref="B11:E11" si="1">SUM(B9:B10)</f>
        <v>267240</v>
      </c>
      <c r="C11" s="45">
        <f t="shared" si="1"/>
        <v>208290</v>
      </c>
      <c r="D11" s="45">
        <f t="shared" si="1"/>
        <v>208290</v>
      </c>
      <c r="E11" s="45">
        <f t="shared" si="1"/>
        <v>288200</v>
      </c>
    </row>
    <row r="12" spans="1:6" ht="15.75" customHeight="1">
      <c r="A12" s="19"/>
    </row>
    <row r="13" spans="1:6" ht="13.15">
      <c r="A13" s="19" t="s">
        <v>102</v>
      </c>
    </row>
    <row r="14" spans="1:6" ht="13.15">
      <c r="A14" s="52" t="s">
        <v>22</v>
      </c>
      <c r="B14" s="4">
        <f>B11*Assumptions!E13</f>
        <v>668100</v>
      </c>
      <c r="C14" s="4"/>
      <c r="D14" s="4"/>
      <c r="E14" s="4"/>
    </row>
    <row r="15" spans="1:6" ht="13.15">
      <c r="A15" s="52" t="s">
        <v>24</v>
      </c>
      <c r="B15" s="4"/>
      <c r="C15" s="4">
        <f>C11*Assumptions!E14</f>
        <v>416580</v>
      </c>
      <c r="D15" s="4">
        <f>D11*Assumptions!$H$14</f>
        <v>416580</v>
      </c>
      <c r="E15" s="4"/>
    </row>
    <row r="16" spans="1:6" ht="13.15">
      <c r="A16" s="52" t="s">
        <v>26</v>
      </c>
      <c r="B16" s="4"/>
      <c r="C16" s="4"/>
      <c r="D16" s="4"/>
      <c r="E16" s="4">
        <f>E11*Assumptions!H15</f>
        <v>360250</v>
      </c>
    </row>
    <row r="17" spans="1:6" ht="13.5" thickBot="1">
      <c r="A17" s="19" t="s">
        <v>114</v>
      </c>
      <c r="B17" s="35">
        <f>B14</f>
        <v>668100</v>
      </c>
      <c r="C17" s="35">
        <f t="shared" ref="C17:D17" si="2">C15</f>
        <v>416580</v>
      </c>
      <c r="D17" s="35">
        <f t="shared" si="2"/>
        <v>416580</v>
      </c>
      <c r="E17" s="35">
        <f>E16</f>
        <v>360250</v>
      </c>
      <c r="F17" s="35">
        <f>SUM(B17:E17)</f>
        <v>1861510</v>
      </c>
    </row>
    <row r="18" spans="1:6" ht="15.75" customHeight="1" thickTop="1"/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N19"/>
  <sheetViews>
    <sheetView tabSelected="1" workbookViewId="0">
      <pane xSplit="1" topLeftCell="B7" activePane="topRight" state="frozen"/>
      <selection pane="topRight" activeCell="H16" sqref="H16"/>
    </sheetView>
  </sheetViews>
  <sheetFormatPr defaultColWidth="14.28515625" defaultRowHeight="15.75" customHeight="1"/>
  <sheetData>
    <row r="1" spans="1:14" ht="22.15">
      <c r="A1" s="84" t="s">
        <v>0</v>
      </c>
      <c r="B1" s="85"/>
      <c r="C1" s="85"/>
    </row>
    <row r="2" spans="1:14" ht="15.75" customHeight="1">
      <c r="A2" s="17" t="s">
        <v>115</v>
      </c>
      <c r="B2" s="18"/>
      <c r="C2" s="18"/>
    </row>
    <row r="3" spans="1:14" ht="15.75" customHeight="1">
      <c r="A3" s="17" t="s">
        <v>2</v>
      </c>
      <c r="B3" s="18"/>
      <c r="C3" s="18"/>
    </row>
    <row r="4" spans="1:14" ht="13.15">
      <c r="A4" s="18"/>
      <c r="B4" s="19" t="s">
        <v>78</v>
      </c>
      <c r="C4" s="19" t="s">
        <v>79</v>
      </c>
      <c r="D4" s="19" t="s">
        <v>80</v>
      </c>
      <c r="E4" s="19" t="s">
        <v>81</v>
      </c>
      <c r="F4" s="19" t="s">
        <v>14</v>
      </c>
      <c r="G4" s="19" t="s">
        <v>16</v>
      </c>
      <c r="H4" s="19" t="s">
        <v>21</v>
      </c>
      <c r="I4" s="19" t="s">
        <v>82</v>
      </c>
      <c r="J4" s="19" t="s">
        <v>83</v>
      </c>
      <c r="K4" s="19" t="s">
        <v>84</v>
      </c>
      <c r="L4" s="19" t="s">
        <v>85</v>
      </c>
      <c r="M4" s="19" t="s">
        <v>86</v>
      </c>
      <c r="N4" s="19" t="s">
        <v>33</v>
      </c>
    </row>
    <row r="5" spans="1:14" ht="13.15">
      <c r="A5" s="19" t="s">
        <v>109</v>
      </c>
    </row>
    <row r="6" spans="1:14" ht="13.15">
      <c r="A6" s="19" t="s">
        <v>22</v>
      </c>
      <c r="B6" s="9">
        <f>'Annual Purchases'!$B$11*Assumptions!O6</f>
        <v>5344.8</v>
      </c>
      <c r="C6" s="9">
        <f>'Annual Purchases'!$B$11*Assumptions!O7</f>
        <v>5344.8</v>
      </c>
      <c r="D6" s="9">
        <f>'Annual Purchases'!$B$11*Assumptions!O8</f>
        <v>8017.2</v>
      </c>
      <c r="E6" s="9">
        <f>'Annual Purchases'!$B$11*Assumptions!O9</f>
        <v>10689.6</v>
      </c>
      <c r="F6" s="9">
        <f>'Annual Purchases'!$B$11*Assumptions!O10</f>
        <v>18706.800000000003</v>
      </c>
      <c r="G6" s="9">
        <f>'Annual Purchases'!$B$11*Assumptions!O11</f>
        <v>21379.200000000001</v>
      </c>
      <c r="H6" s="9">
        <f>'Annual Purchases'!$B$11*Assumptions!O12</f>
        <v>24051.599999999999</v>
      </c>
      <c r="I6" s="9">
        <f>'Annual Purchases'!$B$11*Assumptions!O13</f>
        <v>26724</v>
      </c>
      <c r="J6" s="9">
        <f>'Annual Purchases'!$B$11*Assumptions!O14</f>
        <v>29396.400000000001</v>
      </c>
      <c r="K6" s="9">
        <f>'Annual Purchases'!$B$11*Assumptions!O15</f>
        <v>37413.600000000006</v>
      </c>
      <c r="L6" s="9">
        <f>'Annual Purchases'!$B$11*Assumptions!O16</f>
        <v>40086</v>
      </c>
      <c r="M6" s="9">
        <f>'Annual Purchases'!$B$11*Assumptions!O17</f>
        <v>40086</v>
      </c>
      <c r="N6" s="9">
        <f>SUM(B6:M6)</f>
        <v>267240</v>
      </c>
    </row>
    <row r="7" spans="1:14" ht="13.15">
      <c r="A7" s="19" t="s">
        <v>24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3.15">
      <c r="A8" s="19" t="s">
        <v>116</v>
      </c>
      <c r="B8" s="9">
        <f>'Annual Purchases'!$C$11*Assumptions!O6</f>
        <v>4165.8</v>
      </c>
      <c r="C8" s="9">
        <f>'Annual Purchases'!$C$11*Assumptions!O7</f>
        <v>4165.8</v>
      </c>
      <c r="D8" s="9">
        <f>'Annual Purchases'!$C$11*Assumptions!O8</f>
        <v>6248.7</v>
      </c>
      <c r="E8" s="9">
        <f>'Annual Purchases'!$C$11*Assumptions!O9</f>
        <v>8331.6</v>
      </c>
      <c r="F8" s="9">
        <f>'Annual Purchases'!$C$11*Assumptions!O10</f>
        <v>14580.300000000001</v>
      </c>
      <c r="G8" s="9">
        <f>'Annual Purchases'!$C$11*Assumptions!O11</f>
        <v>16663.2</v>
      </c>
      <c r="H8" s="9">
        <f>'Annual Purchases'!$C$11*Assumptions!O12</f>
        <v>18746.099999999999</v>
      </c>
      <c r="I8" s="9">
        <f>'Annual Purchases'!$C$11*Assumptions!O13</f>
        <v>20829</v>
      </c>
      <c r="J8" s="9">
        <f>'Annual Purchases'!$C$11*Assumptions!O14</f>
        <v>22911.9</v>
      </c>
      <c r="K8" s="9">
        <f>'Annual Purchases'!$C$11*Assumptions!O15</f>
        <v>29160.600000000002</v>
      </c>
      <c r="L8" s="9">
        <f>'Annual Purchases'!$C$11*Assumptions!O16</f>
        <v>31243.5</v>
      </c>
      <c r="M8" s="9">
        <f>'Annual Purchases'!$C$11*Assumptions!O17</f>
        <v>31243.5</v>
      </c>
      <c r="N8" s="9">
        <f t="shared" ref="N8:N10" si="0">SUM(B8:M8)</f>
        <v>208290</v>
      </c>
    </row>
    <row r="9" spans="1:14" ht="13.15">
      <c r="A9" s="19" t="s">
        <v>117</v>
      </c>
      <c r="B9" s="9">
        <f>'Annual Purchases'!$C$11*Assumptions!P6</f>
        <v>20829</v>
      </c>
      <c r="C9" s="9">
        <f>'Annual Purchases'!$C$11*Assumptions!P7</f>
        <v>20829</v>
      </c>
      <c r="D9" s="9">
        <f>'Annual Purchases'!$C$11*Assumptions!P8</f>
        <v>20829</v>
      </c>
      <c r="E9" s="9">
        <f>'Annual Purchases'!$C$11*Assumptions!P9</f>
        <v>20829</v>
      </c>
      <c r="F9" s="9">
        <f>'Annual Purchases'!$C$11*Assumptions!P10</f>
        <v>10414.5</v>
      </c>
      <c r="G9" s="9">
        <f>'Annual Purchases'!$C$11*Assumptions!P11</f>
        <v>10414.5</v>
      </c>
      <c r="H9" s="9">
        <f>'Annual Purchases'!$C$11*Assumptions!P12</f>
        <v>10414.5</v>
      </c>
      <c r="I9" s="9">
        <f>'Annual Purchases'!$C$11*Assumptions!P13</f>
        <v>10414.5</v>
      </c>
      <c r="J9" s="9">
        <f>'Annual Purchases'!$C$11*Assumptions!P14</f>
        <v>10414.5</v>
      </c>
      <c r="K9" s="9">
        <f>'Annual Purchases'!$C$11*Assumptions!P15</f>
        <v>31243.5</v>
      </c>
      <c r="L9" s="9">
        <f>'Annual Purchases'!$C$11*Assumptions!P16</f>
        <v>20829</v>
      </c>
      <c r="M9" s="9">
        <f>'Annual Purchases'!$C$11*Assumptions!P17</f>
        <v>20829</v>
      </c>
      <c r="N9" s="9">
        <f t="shared" si="0"/>
        <v>208290</v>
      </c>
    </row>
    <row r="10" spans="1:14" ht="13.15">
      <c r="A10" s="19" t="s">
        <v>26</v>
      </c>
      <c r="B10" s="9">
        <f>'Annual Purchases'!$E$11*Assumptions!P6</f>
        <v>28820</v>
      </c>
      <c r="C10" s="9">
        <f>'Annual Purchases'!$E$11*Assumptions!P7</f>
        <v>28820</v>
      </c>
      <c r="D10" s="9">
        <f>'Annual Purchases'!$E$11*Assumptions!P8</f>
        <v>28820</v>
      </c>
      <c r="E10" s="9">
        <f>'Annual Purchases'!$E$11*Assumptions!P9</f>
        <v>28820</v>
      </c>
      <c r="F10" s="9">
        <f>'Annual Purchases'!$E$11*Assumptions!P10</f>
        <v>14410</v>
      </c>
      <c r="G10" s="9">
        <f>'Annual Purchases'!$E$11*Assumptions!P11</f>
        <v>14410</v>
      </c>
      <c r="H10" s="9">
        <f>'Annual Purchases'!$E$11*Assumptions!P12</f>
        <v>14410</v>
      </c>
      <c r="I10" s="9">
        <f>'Annual Purchases'!$E$11*Assumptions!P13</f>
        <v>14410</v>
      </c>
      <c r="J10" s="9">
        <f>'Annual Purchases'!$E$11*Assumptions!P14</f>
        <v>14410</v>
      </c>
      <c r="K10" s="9">
        <f>'Annual Purchases'!$E$11*Assumptions!P15</f>
        <v>43230</v>
      </c>
      <c r="L10" s="9">
        <f>'Annual Purchases'!$E$11*Assumptions!P16</f>
        <v>28820</v>
      </c>
      <c r="M10" s="9">
        <f>'Annual Purchases'!$E$11*Assumptions!P17</f>
        <v>28820</v>
      </c>
      <c r="N10" s="9">
        <f t="shared" si="0"/>
        <v>288200</v>
      </c>
    </row>
    <row r="11" spans="1:14" ht="15.75" customHeight="1">
      <c r="A11" s="18"/>
    </row>
    <row r="12" spans="1:14" ht="13.15">
      <c r="A12" s="19" t="s">
        <v>118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ht="13.15">
      <c r="A13" s="19" t="s">
        <v>22</v>
      </c>
      <c r="B13" s="4">
        <f>B6*Assumptions!$E$13</f>
        <v>13362</v>
      </c>
      <c r="C13" s="4">
        <f>C6*Assumptions!$E$13</f>
        <v>13362</v>
      </c>
      <c r="D13" s="4">
        <f>D6*Assumptions!$E$13</f>
        <v>20043</v>
      </c>
      <c r="E13" s="4">
        <f>E6*Assumptions!$E$13</f>
        <v>26724</v>
      </c>
      <c r="F13" s="4">
        <f>F6*Assumptions!$E$13</f>
        <v>46767.000000000007</v>
      </c>
      <c r="G13" s="4">
        <f>G6*Assumptions!$E$13</f>
        <v>53448</v>
      </c>
      <c r="H13" s="4">
        <f>H6*Assumptions!$E$13</f>
        <v>60129</v>
      </c>
      <c r="I13" s="4">
        <f>I6*Assumptions!$E$13</f>
        <v>66810</v>
      </c>
      <c r="J13" s="4">
        <f>J6*Assumptions!$E$13</f>
        <v>73491</v>
      </c>
      <c r="K13" s="4">
        <f>K6*Assumptions!$E$13</f>
        <v>93534.000000000015</v>
      </c>
      <c r="L13" s="4">
        <f>L6*Assumptions!$E$13</f>
        <v>100215</v>
      </c>
      <c r="M13" s="4">
        <f>M6*Assumptions!$E$13</f>
        <v>100215</v>
      </c>
      <c r="N13" s="4">
        <f>SUM(B13:M13)</f>
        <v>668100</v>
      </c>
    </row>
    <row r="14" spans="1:14" ht="15.75" customHeight="1">
      <c r="A14" s="19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13.15">
      <c r="A15" s="19" t="s">
        <v>116</v>
      </c>
      <c r="B15" s="4">
        <f>B8*Assumptions!$E$14</f>
        <v>8331.6</v>
      </c>
      <c r="C15" s="4">
        <f>C8*Assumptions!$E$14</f>
        <v>8331.6</v>
      </c>
      <c r="D15" s="4">
        <f>D8*Assumptions!$E$14</f>
        <v>12497.4</v>
      </c>
      <c r="E15" s="4">
        <f>E8*Assumptions!$E$14</f>
        <v>16663.2</v>
      </c>
      <c r="F15" s="4">
        <f>F8*Assumptions!$E$14</f>
        <v>29160.600000000002</v>
      </c>
      <c r="G15" s="4">
        <f>G8*Assumptions!$E$14</f>
        <v>33326.400000000001</v>
      </c>
      <c r="H15" s="4">
        <f>H8*Assumptions!$E$14</f>
        <v>37492.199999999997</v>
      </c>
      <c r="I15" s="4">
        <f>I8*Assumptions!$E$14</f>
        <v>41658</v>
      </c>
      <c r="J15" s="4">
        <f>J8*Assumptions!$E$14</f>
        <v>45823.8</v>
      </c>
      <c r="K15" s="4">
        <f>K8*Assumptions!$E$14</f>
        <v>58321.200000000004</v>
      </c>
      <c r="L15" s="4">
        <f>L8*Assumptions!$E$14</f>
        <v>62487</v>
      </c>
      <c r="M15" s="4">
        <f>M8*Assumptions!$E$14</f>
        <v>62487</v>
      </c>
      <c r="N15" s="4">
        <f t="shared" ref="N15:N18" si="1">SUM(B15:M15)</f>
        <v>416580</v>
      </c>
    </row>
    <row r="16" spans="1:14" ht="13.15">
      <c r="A16" s="19" t="s">
        <v>117</v>
      </c>
      <c r="B16" s="4">
        <f>B9*Assumptions!$H$14</f>
        <v>41658</v>
      </c>
      <c r="C16" s="4">
        <f>C9*Assumptions!$H$14</f>
        <v>41658</v>
      </c>
      <c r="D16" s="4">
        <f>D9*Assumptions!$H$14</f>
        <v>41658</v>
      </c>
      <c r="E16" s="4">
        <f>E9*Assumptions!$H$14</f>
        <v>41658</v>
      </c>
      <c r="F16" s="4">
        <f>F9*Assumptions!$H$14</f>
        <v>20829</v>
      </c>
      <c r="G16" s="4">
        <f>G9*Assumptions!$H$14</f>
        <v>20829</v>
      </c>
      <c r="H16" s="10">
        <f>H9*Assumptions!$H$14</f>
        <v>20829</v>
      </c>
      <c r="I16" s="4">
        <f>I9*Assumptions!$H$14</f>
        <v>20829</v>
      </c>
      <c r="J16" s="4">
        <f>J9*Assumptions!$H$14</f>
        <v>20829</v>
      </c>
      <c r="K16" s="4">
        <f>K9*Assumptions!$H$14</f>
        <v>62487</v>
      </c>
      <c r="L16" s="4">
        <f>L9*Assumptions!$H$14</f>
        <v>41658</v>
      </c>
      <c r="M16" s="4">
        <f>M9*Assumptions!$H$14</f>
        <v>41658</v>
      </c>
      <c r="N16" s="4">
        <f t="shared" si="1"/>
        <v>416580</v>
      </c>
    </row>
    <row r="17" spans="1:14" ht="13.15">
      <c r="A17" s="19" t="s">
        <v>26</v>
      </c>
      <c r="B17" s="10">
        <f>B10*Assumptions!$H$15</f>
        <v>36025</v>
      </c>
      <c r="C17" s="10">
        <f>C10*Assumptions!$H$15</f>
        <v>36025</v>
      </c>
      <c r="D17" s="10">
        <f>D10*Assumptions!$H$15</f>
        <v>36025</v>
      </c>
      <c r="E17" s="10">
        <f>E10*Assumptions!$H$15</f>
        <v>36025</v>
      </c>
      <c r="F17" s="10">
        <f>F10*Assumptions!$H$15</f>
        <v>18012.5</v>
      </c>
      <c r="G17" s="10">
        <f>G10*Assumptions!$H$15</f>
        <v>18012.5</v>
      </c>
      <c r="H17" s="10">
        <f>H10*Assumptions!$H$15</f>
        <v>18012.5</v>
      </c>
      <c r="I17" s="10">
        <f>I10*Assumptions!$H$15</f>
        <v>18012.5</v>
      </c>
      <c r="J17" s="10">
        <f>J10*Assumptions!$H$15</f>
        <v>18012.5</v>
      </c>
      <c r="K17" s="10">
        <f>K10*Assumptions!$H$15</f>
        <v>54037.5</v>
      </c>
      <c r="L17" s="10">
        <f>L10*Assumptions!$H$15</f>
        <v>36025</v>
      </c>
      <c r="M17" s="10">
        <f>M10*Assumptions!$H$15</f>
        <v>36025</v>
      </c>
      <c r="N17" s="44">
        <f t="shared" si="1"/>
        <v>360250</v>
      </c>
    </row>
    <row r="18" spans="1:14" ht="13.5" thickBot="1">
      <c r="A18" s="19" t="s">
        <v>33</v>
      </c>
      <c r="B18" s="35">
        <f t="shared" ref="B18:M18" si="2">SUM(B13:B17)</f>
        <v>99376.6</v>
      </c>
      <c r="C18" s="35">
        <f t="shared" si="2"/>
        <v>99376.6</v>
      </c>
      <c r="D18" s="35">
        <f t="shared" si="2"/>
        <v>110223.4</v>
      </c>
      <c r="E18" s="35">
        <f t="shared" si="2"/>
        <v>121070.2</v>
      </c>
      <c r="F18" s="35">
        <f>SUM(F13:F17)</f>
        <v>114769.1</v>
      </c>
      <c r="G18" s="35">
        <f t="shared" si="2"/>
        <v>125615.9</v>
      </c>
      <c r="H18" s="35">
        <f t="shared" si="2"/>
        <v>136462.70000000001</v>
      </c>
      <c r="I18" s="35">
        <f t="shared" si="2"/>
        <v>147309.5</v>
      </c>
      <c r="J18" s="35">
        <f t="shared" si="2"/>
        <v>158156.29999999999</v>
      </c>
      <c r="K18" s="35">
        <f t="shared" si="2"/>
        <v>268379.7</v>
      </c>
      <c r="L18" s="35">
        <f t="shared" si="2"/>
        <v>240385</v>
      </c>
      <c r="M18" s="35">
        <f t="shared" si="2"/>
        <v>240385</v>
      </c>
      <c r="N18" s="35">
        <f t="shared" si="1"/>
        <v>1861510</v>
      </c>
    </row>
    <row r="19" spans="1:14" ht="15.75" customHeight="1" thickTop="1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Kya Ikon Sanchez</dc:creator>
  <cp:keywords/>
  <dc:description/>
  <cp:lastModifiedBy>Guest User</cp:lastModifiedBy>
  <cp:revision/>
  <dcterms:created xsi:type="dcterms:W3CDTF">2020-11-10T20:10:33Z</dcterms:created>
  <dcterms:modified xsi:type="dcterms:W3CDTF">2021-11-17T20:48:03Z</dcterms:modified>
  <cp:category/>
  <cp:contentStatus/>
</cp:coreProperties>
</file>